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N:\CloudStation\Drive\webs\「福岡県高等学校体育連盟」\moushikomi\2021\m_07\ken\"/>
    </mc:Choice>
  </mc:AlternateContent>
  <xr:revisionPtr revIDLastSave="0" documentId="8_{C86CBAFE-7768-4100-97C9-151B70C3405D}" xr6:coauthVersionLast="45" xr6:coauthVersionMax="45" xr10:uidLastSave="{00000000-0000-0000-0000-000000000000}"/>
  <bookViews>
    <workbookView xWindow="28680" yWindow="-9435" windowWidth="16440" windowHeight="29040" firstSheet="1" activeTab="1" xr2:uid="{00000000-000D-0000-FFFF-FFFF00000000}"/>
  </bookViews>
  <sheets>
    <sheet name="記入法" sheetId="1" r:id="rId1"/>
    <sheet name="データ入力用" sheetId="2" r:id="rId2"/>
    <sheet name="個人戦申込書（印刷用）" sheetId="3" r:id="rId3"/>
    <sheet name="団体戦申込書（印刷用）" sheetId="4" r:id="rId4"/>
    <sheet name="個人戦申込書 (手書用)" sheetId="5" r:id="rId5"/>
    <sheet name="団体戦申込書（手書用）" sheetId="6" r:id="rId6"/>
  </sheets>
  <definedNames>
    <definedName name="_xlnm.Print_Area" localSheetId="4">'個人戦申込書 (手書用)'!$A$2:$P$54</definedName>
    <definedName name="_xlnm.Print_Area" localSheetId="2">'個人戦申込書（印刷用）'!$A$2:$P$60</definedName>
    <definedName name="_xlnm.Print_Area" localSheetId="3">'団体戦申込書（印刷用）'!$A$2:$P$43</definedName>
    <definedName name="_xlnm.Print_Area" localSheetId="5">'団体戦申込書（手書用）'!$A$2:$P$38</definedName>
    <definedName name="_xlnm.Print_Titles" localSheetId="1">データ入力用!$3:$6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 i="3" l="1"/>
  <c r="I57" i="3" l="1"/>
  <c r="I56" i="3"/>
  <c r="N38" i="6" l="1"/>
  <c r="F38" i="6"/>
  <c r="C37" i="6"/>
  <c r="A4" i="6"/>
  <c r="A3" i="6"/>
  <c r="A2" i="6"/>
  <c r="C53" i="5"/>
  <c r="A4" i="5"/>
  <c r="A3" i="5"/>
  <c r="A2" i="5"/>
  <c r="N43" i="4"/>
  <c r="F43" i="4"/>
  <c r="C42" i="4"/>
  <c r="N30" i="4"/>
  <c r="M30" i="4"/>
  <c r="L30" i="4"/>
  <c r="K30" i="4"/>
  <c r="J30" i="4"/>
  <c r="I30" i="4"/>
  <c r="O29" i="4"/>
  <c r="M29" i="4"/>
  <c r="L29" i="4"/>
  <c r="K29" i="4"/>
  <c r="J29" i="4"/>
  <c r="I29" i="4"/>
  <c r="H29" i="4"/>
  <c r="B29" i="4"/>
  <c r="N28" i="4"/>
  <c r="M28" i="4"/>
  <c r="L28" i="4"/>
  <c r="K28" i="4"/>
  <c r="J28" i="4"/>
  <c r="I28" i="4"/>
  <c r="O27" i="4"/>
  <c r="M27" i="4"/>
  <c r="L27" i="4"/>
  <c r="K27" i="4"/>
  <c r="J27" i="4"/>
  <c r="I27" i="4"/>
  <c r="H27" i="4"/>
  <c r="B27" i="4"/>
  <c r="N26" i="4"/>
  <c r="M26" i="4"/>
  <c r="L26" i="4"/>
  <c r="K26" i="4"/>
  <c r="J26" i="4"/>
  <c r="I26" i="4"/>
  <c r="O25" i="4"/>
  <c r="M25" i="4"/>
  <c r="L25" i="4"/>
  <c r="K25" i="4"/>
  <c r="J25" i="4"/>
  <c r="I25" i="4"/>
  <c r="H25" i="4"/>
  <c r="B25" i="4"/>
  <c r="N24" i="4"/>
  <c r="M24" i="4"/>
  <c r="L24" i="4"/>
  <c r="K24" i="4"/>
  <c r="J24" i="4"/>
  <c r="I24" i="4"/>
  <c r="O23" i="4"/>
  <c r="M23" i="4"/>
  <c r="L23" i="4"/>
  <c r="K23" i="4"/>
  <c r="J23" i="4"/>
  <c r="I23" i="4"/>
  <c r="H23" i="4"/>
  <c r="B23" i="4"/>
  <c r="N22" i="4"/>
  <c r="M22" i="4"/>
  <c r="L22" i="4"/>
  <c r="K22" i="4"/>
  <c r="J22" i="4"/>
  <c r="I22" i="4"/>
  <c r="O21" i="4"/>
  <c r="M21" i="4"/>
  <c r="L21" i="4"/>
  <c r="K21" i="4"/>
  <c r="J21" i="4"/>
  <c r="I21" i="4"/>
  <c r="H21" i="4"/>
  <c r="B21" i="4"/>
  <c r="N20" i="4"/>
  <c r="M20" i="4"/>
  <c r="L20" i="4"/>
  <c r="K20" i="4"/>
  <c r="J20" i="4"/>
  <c r="I20" i="4"/>
  <c r="O19" i="4"/>
  <c r="M19" i="4"/>
  <c r="L19" i="4"/>
  <c r="K19" i="4"/>
  <c r="J19" i="4"/>
  <c r="I19" i="4"/>
  <c r="H19" i="4"/>
  <c r="B19" i="4"/>
  <c r="N18" i="4"/>
  <c r="M18" i="4"/>
  <c r="L18" i="4"/>
  <c r="K18" i="4"/>
  <c r="J18" i="4"/>
  <c r="I18" i="4"/>
  <c r="O17" i="4"/>
  <c r="M17" i="4"/>
  <c r="L17" i="4"/>
  <c r="K17" i="4"/>
  <c r="J17" i="4"/>
  <c r="I17" i="4"/>
  <c r="H17" i="4"/>
  <c r="B17" i="4"/>
  <c r="N16" i="4"/>
  <c r="M16" i="4"/>
  <c r="L16" i="4"/>
  <c r="K16" i="4"/>
  <c r="J16" i="4"/>
  <c r="I16" i="4"/>
  <c r="O15" i="4"/>
  <c r="M15" i="4"/>
  <c r="L15" i="4"/>
  <c r="K15" i="4"/>
  <c r="J15" i="4"/>
  <c r="I15" i="4"/>
  <c r="H15" i="4"/>
  <c r="B15" i="4"/>
  <c r="G12" i="4"/>
  <c r="B12" i="4"/>
  <c r="M9" i="4"/>
  <c r="G9" i="4"/>
  <c r="E9" i="4"/>
  <c r="M8" i="4"/>
  <c r="M7" i="4"/>
  <c r="E7" i="4"/>
  <c r="B7" i="4"/>
  <c r="A4" i="4"/>
  <c r="A3" i="4"/>
  <c r="A2" i="4"/>
  <c r="N60" i="3"/>
  <c r="F60" i="3"/>
  <c r="C59" i="3"/>
  <c r="N46" i="3"/>
  <c r="M46" i="3"/>
  <c r="L46" i="3"/>
  <c r="K46" i="3"/>
  <c r="J46" i="3"/>
  <c r="I46" i="3"/>
  <c r="O45" i="3"/>
  <c r="M45" i="3"/>
  <c r="L45" i="3"/>
  <c r="K45" i="3"/>
  <c r="J45" i="3"/>
  <c r="I45" i="3"/>
  <c r="H45" i="3"/>
  <c r="C45" i="3"/>
  <c r="N44" i="3"/>
  <c r="M44" i="3"/>
  <c r="L44" i="3"/>
  <c r="K44" i="3"/>
  <c r="J44" i="3"/>
  <c r="I44" i="3"/>
  <c r="O43" i="3"/>
  <c r="M43" i="3"/>
  <c r="L43" i="3"/>
  <c r="K43" i="3"/>
  <c r="J43" i="3"/>
  <c r="I43" i="3"/>
  <c r="H43" i="3"/>
  <c r="C43" i="3"/>
  <c r="N42" i="3"/>
  <c r="M42" i="3"/>
  <c r="L42" i="3"/>
  <c r="K42" i="3"/>
  <c r="J42" i="3"/>
  <c r="I42" i="3"/>
  <c r="O41" i="3"/>
  <c r="M41" i="3"/>
  <c r="L41" i="3"/>
  <c r="K41" i="3"/>
  <c r="J41" i="3"/>
  <c r="I41" i="3"/>
  <c r="H41" i="3"/>
  <c r="C41" i="3"/>
  <c r="N40" i="3"/>
  <c r="M40" i="3"/>
  <c r="L40" i="3"/>
  <c r="K40" i="3"/>
  <c r="J40" i="3"/>
  <c r="I40" i="3"/>
  <c r="O39" i="3"/>
  <c r="M39" i="3"/>
  <c r="L39" i="3"/>
  <c r="K39" i="3"/>
  <c r="J39" i="3"/>
  <c r="I39" i="3"/>
  <c r="H39" i="3"/>
  <c r="C39" i="3"/>
  <c r="N38" i="3"/>
  <c r="M38" i="3"/>
  <c r="L38" i="3"/>
  <c r="K38" i="3"/>
  <c r="J38" i="3"/>
  <c r="I38" i="3"/>
  <c r="O37" i="3"/>
  <c r="M37" i="3"/>
  <c r="L37" i="3"/>
  <c r="K37" i="3"/>
  <c r="J37" i="3"/>
  <c r="I37" i="3"/>
  <c r="H37" i="3"/>
  <c r="C37" i="3"/>
  <c r="N36" i="3"/>
  <c r="M36" i="3"/>
  <c r="L36" i="3"/>
  <c r="K36" i="3"/>
  <c r="J36" i="3"/>
  <c r="I36" i="3"/>
  <c r="O35" i="3"/>
  <c r="M35" i="3"/>
  <c r="L35" i="3"/>
  <c r="K35" i="3"/>
  <c r="J35" i="3"/>
  <c r="I35" i="3"/>
  <c r="H35" i="3"/>
  <c r="C35" i="3"/>
  <c r="N34" i="3"/>
  <c r="M34" i="3"/>
  <c r="L34" i="3"/>
  <c r="K34" i="3"/>
  <c r="J34" i="3"/>
  <c r="I34" i="3"/>
  <c r="O33" i="3"/>
  <c r="M33" i="3"/>
  <c r="L33" i="3"/>
  <c r="K33" i="3"/>
  <c r="J33" i="3"/>
  <c r="I33" i="3"/>
  <c r="H33" i="3"/>
  <c r="C33" i="3"/>
  <c r="N32" i="3"/>
  <c r="M32" i="3"/>
  <c r="L32" i="3"/>
  <c r="K32" i="3"/>
  <c r="J32" i="3"/>
  <c r="I32" i="3"/>
  <c r="O31" i="3"/>
  <c r="M31" i="3"/>
  <c r="L31" i="3"/>
  <c r="K31" i="3"/>
  <c r="J31" i="3"/>
  <c r="I31" i="3"/>
  <c r="H31" i="3"/>
  <c r="C31" i="3"/>
  <c r="N30" i="3"/>
  <c r="M30" i="3"/>
  <c r="L30" i="3"/>
  <c r="K30" i="3"/>
  <c r="J30" i="3"/>
  <c r="I30" i="3"/>
  <c r="O29" i="3"/>
  <c r="M29" i="3"/>
  <c r="L29" i="3"/>
  <c r="K29" i="3"/>
  <c r="J29" i="3"/>
  <c r="I29" i="3"/>
  <c r="H29" i="3"/>
  <c r="C29" i="3"/>
  <c r="N28" i="3"/>
  <c r="M28" i="3"/>
  <c r="L28" i="3"/>
  <c r="K28" i="3"/>
  <c r="J28" i="3"/>
  <c r="I28" i="3"/>
  <c r="O27" i="3"/>
  <c r="M27" i="3"/>
  <c r="L27" i="3"/>
  <c r="K27" i="3"/>
  <c r="J27" i="3"/>
  <c r="I27" i="3"/>
  <c r="H27" i="3"/>
  <c r="C27" i="3"/>
  <c r="N26" i="3"/>
  <c r="M26" i="3"/>
  <c r="L26" i="3"/>
  <c r="K26" i="3"/>
  <c r="J26" i="3"/>
  <c r="I26" i="3"/>
  <c r="O25" i="3"/>
  <c r="M25" i="3"/>
  <c r="L25" i="3"/>
  <c r="K25" i="3"/>
  <c r="J25" i="3"/>
  <c r="I25" i="3"/>
  <c r="H25" i="3"/>
  <c r="C25" i="3"/>
  <c r="N24" i="3"/>
  <c r="M24" i="3"/>
  <c r="L24" i="3"/>
  <c r="K24" i="3"/>
  <c r="J24" i="3"/>
  <c r="I24" i="3"/>
  <c r="O23" i="3"/>
  <c r="M23" i="3"/>
  <c r="L23" i="3"/>
  <c r="K23" i="3"/>
  <c r="J23" i="3"/>
  <c r="I23" i="3"/>
  <c r="H23" i="3"/>
  <c r="C23" i="3"/>
  <c r="N22" i="3"/>
  <c r="M22" i="3"/>
  <c r="L22" i="3"/>
  <c r="K22" i="3"/>
  <c r="J22" i="3"/>
  <c r="I22" i="3"/>
  <c r="O21" i="3"/>
  <c r="M21" i="3"/>
  <c r="L21" i="3"/>
  <c r="K21" i="3"/>
  <c r="J21" i="3"/>
  <c r="I21" i="3"/>
  <c r="H21" i="3"/>
  <c r="C21" i="3"/>
  <c r="N20" i="3"/>
  <c r="M20" i="3"/>
  <c r="L20" i="3"/>
  <c r="K20" i="3"/>
  <c r="J20" i="3"/>
  <c r="I20" i="3"/>
  <c r="O19" i="3"/>
  <c r="M19" i="3"/>
  <c r="L19" i="3"/>
  <c r="K19" i="3"/>
  <c r="J19" i="3"/>
  <c r="I19" i="3"/>
  <c r="H19" i="3"/>
  <c r="C19" i="3"/>
  <c r="N18" i="3"/>
  <c r="M18" i="3"/>
  <c r="L18" i="3"/>
  <c r="K18" i="3"/>
  <c r="J18" i="3"/>
  <c r="I18" i="3"/>
  <c r="O17" i="3"/>
  <c r="M17" i="3"/>
  <c r="L17" i="3"/>
  <c r="K17" i="3"/>
  <c r="J17" i="3"/>
  <c r="I17" i="3"/>
  <c r="H17" i="3"/>
  <c r="C17" i="3"/>
  <c r="N16" i="3"/>
  <c r="M16" i="3"/>
  <c r="L16" i="3"/>
  <c r="K16" i="3"/>
  <c r="J16" i="3"/>
  <c r="I16" i="3"/>
  <c r="O15" i="3"/>
  <c r="M15" i="3"/>
  <c r="L15" i="3"/>
  <c r="K15" i="3"/>
  <c r="J15" i="3"/>
  <c r="I15" i="3"/>
  <c r="H15" i="3"/>
  <c r="C15" i="3"/>
  <c r="P12" i="3"/>
  <c r="M12" i="3"/>
  <c r="C12" i="3"/>
  <c r="M9" i="3"/>
  <c r="G9" i="3"/>
  <c r="E9" i="3"/>
  <c r="M8" i="3"/>
  <c r="M7" i="3"/>
  <c r="E7" i="3"/>
  <c r="B7" i="3"/>
  <c r="A4" i="3"/>
  <c r="A3" i="3"/>
  <c r="A2" i="3"/>
</calcChain>
</file>

<file path=xl/sharedStrings.xml><?xml version="1.0" encoding="utf-8"?>
<sst xmlns="http://schemas.openxmlformats.org/spreadsheetml/2006/main" count="392" uniqueCount="97">
  <si>
    <t>福岡県高体連ソフトテニス専門部　参加申込書の記入方法　</t>
  </si>
  <si>
    <t>・「個人戦申込書（手書用）」，「団体戦申込書（手書用）」（青色のタブ）をそれぞれ印刷してお使いください。</t>
  </si>
  <si>
    <t>　※左上の赤枠のセルで「全国」，「新人」を選択してください。</t>
  </si>
  <si>
    <t>　※「男子」，「女子」の入力セルで，「男子」または「女子」を選択してください。</t>
  </si>
  <si>
    <t>（２）「データ入力用」に入力する場合</t>
  </si>
  <si>
    <t>①「データ入力用」（赤色のタブ）に，選手データを入力する。</t>
  </si>
  <si>
    <t>　※見本を削除してから入力してください。</t>
  </si>
  <si>
    <t>　※「個人番手（個人戦の出場選手の選択）」，「団体番号（団体戦の出場選手の選択）」，「学年」，「入学・転入」の列はドロップダウンリストから選択できます。</t>
  </si>
  <si>
    <t>　※「個人番手」は1A,1B,2A,2B,……，「団体番号」は1,2,3,……をドロップダウンリストから選択して入力する。</t>
  </si>
  <si>
    <t>　※申込書の大会名が変わります。</t>
  </si>
  <si>
    <t>③「男子」，「女子」の入力セルで，「男子」または「女子」を選択する。</t>
  </si>
  <si>
    <t>④「引率責任者」，「監督」（個人戦は「監督①」，「監督②」）のセルに，引率責任者，監督の氏名を入力する。</t>
  </si>
  <si>
    <t>　※「職名」，「当該校職員・外部指導者」はリストから選択できます。</t>
  </si>
  <si>
    <t>※黄色のセルはドロップダウンリストがあります。</t>
  </si>
  <si>
    <t>※引率責任者，監督，選手の氏名で，異字体などで表示されない場合は，近い字で入力するか，空白で印刷し手書きしてください</t>
  </si>
  <si>
    <t>男女</t>
  </si>
  <si>
    <t>郵便番号</t>
  </si>
  <si>
    <t>学校住所</t>
  </si>
  <si>
    <t>電話番号</t>
  </si>
  <si>
    <t>学校名</t>
  </si>
  <si>
    <t>所在地</t>
  </si>
  <si>
    <t>学校長名</t>
  </si>
  <si>
    <t>引率責任者</t>
  </si>
  <si>
    <t>職名</t>
  </si>
  <si>
    <t>氏名</t>
  </si>
  <si>
    <t>ベンチ入り指導者</t>
  </si>
  <si>
    <t>団体戦</t>
  </si>
  <si>
    <t>監督</t>
  </si>
  <si>
    <t>個人戦</t>
  </si>
  <si>
    <t>監督①</t>
  </si>
  <si>
    <t>監督②</t>
  </si>
  <si>
    <t>※　個人戦のエントリー数が１ペアの場合は１名の登録</t>
  </si>
  <si>
    <t>No.</t>
  </si>
  <si>
    <t>個人
番手</t>
  </si>
  <si>
    <t>団体
番号</t>
  </si>
  <si>
    <t>学年</t>
  </si>
  <si>
    <t>生年月日</t>
  </si>
  <si>
    <t>入学年月日</t>
  </si>
  <si>
    <t>入学　転入</t>
  </si>
  <si>
    <t>個人ID</t>
  </si>
  <si>
    <t>全国</t>
  </si>
  <si>
    <t>参　加　申　込　書</t>
  </si>
  <si>
    <t>個人</t>
  </si>
  <si>
    <t>氏　　　名</t>
  </si>
  <si>
    <t>参加選手</t>
  </si>
  <si>
    <t>氏　　　　　名</t>
  </si>
  <si>
    <t>生年月日　および　転入学年月日</t>
  </si>
  <si>
    <t>個人ＩＤ</t>
  </si>
  <si>
    <t>Ａ</t>
  </si>
  <si>
    <t>生まれ</t>
  </si>
  <si>
    <t>Ｂ</t>
  </si>
  <si>
    <t>※注意　個人戦参加選手は、ペアごとに記入すること。</t>
  </si>
  <si>
    <t>　上記のものは本校在学生徒で、表記大会に出場することを認め、参加申し込みをいたします。
また、高体連個人情報に関する取り扱いについては、本大会要項の記載事項を承諾した上で
参加申し込みをする事を同意します。</t>
  </si>
  <si>
    <t>福岡県高等学校ソフトテニス大会　</t>
  </si>
  <si>
    <t xml:space="preserve">（ 兼 全九州高等学校体育大会　ソフトテニス競技　福岡県予選 ）            </t>
  </si>
  <si>
    <t>福岡県高等学校総合体育大会　ソフトテニス選手権大会　</t>
  </si>
  <si>
    <t>（ 兼 全国高等学校総合体育大会　ソフトテニス選手権大会　福岡県予選 ）</t>
  </si>
  <si>
    <t>何もしないでください</t>
  </si>
  <si>
    <t>福岡県高等学校ソフトテニス新人大会　</t>
  </si>
  <si>
    <t>（ 兼 全九州高等学校新人ソフトテニス大会　福岡県予選 ）</t>
  </si>
  <si>
    <t>※団体戦においてはベンチ入りできる指導者は、監督１名のみとする。</t>
  </si>
  <si>
    <t>（ 兼 全九州高等学校体育大会　ソフトテニス競技　福岡県予選 ）</t>
  </si>
  <si>
    <t>男女の別</t>
  </si>
  <si>
    <t/>
  </si>
  <si>
    <t>〒</t>
  </si>
  <si>
    <t>　</t>
  </si>
  <si>
    <t>℡  （　　　　  ）　　　  　－　　　  　　</t>
  </si>
  <si>
    <t>いずれかを○で囲む</t>
  </si>
  <si>
    <t>当該校職員
外部指導者</t>
  </si>
  <si>
    <t>平成　  　年　　 　月 　 　日</t>
  </si>
  <si>
    <t>入学・転入</t>
  </si>
  <si>
    <t>高等学校長</t>
  </si>
  <si>
    <t>　　　　　　　　　　　　　　印</t>
  </si>
  <si>
    <t>福岡県高等学校ソフトテニス大会　中部ブロック予選会</t>
  </si>
  <si>
    <t>（ 兼 全九州高等学校体育大会　ソフトテニス競技　福岡県中部ブロック予選 ）</t>
  </si>
  <si>
    <t>福岡県高等学校総合体育大会　ソフトテニス選手権大会　中部ブロック予選会</t>
  </si>
  <si>
    <t>（ 兼 全国高等学校総合体育大会　ソフトテニス選手権大会　福岡県中部ブロック予選 ）</t>
  </si>
  <si>
    <t>福岡県高等学校ソフトテニス新人大会　中部ブロック予選会</t>
  </si>
  <si>
    <t>（ 兼 全九州高等学校新人ソフトテニス大会　福岡県中部ブロック予選 ）</t>
  </si>
  <si>
    <t>（１）手書きで記入する場合</t>
    <phoneticPr fontId="19"/>
  </si>
  <si>
    <t>②「個人戦申込書（印刷用）」または「団体戦申込書（印刷用）」（緑色のタブ）で，左上の赤枠のセルで「全国」，「新人」を選択する。</t>
    <rPh sb="9" eb="12">
      <t>インサツヨウ</t>
    </rPh>
    <rPh sb="25" eb="27">
      <t>インサツ</t>
    </rPh>
    <phoneticPr fontId="19"/>
  </si>
  <si>
    <t>1A</t>
  </si>
  <si>
    <t>入学</t>
  </si>
  <si>
    <t>記入例は消して入力して下さい</t>
    <rPh sb="0" eb="2">
      <t>キニュウ</t>
    </rPh>
    <rPh sb="2" eb="3">
      <t>レイ</t>
    </rPh>
    <rPh sb="4" eb="5">
      <t>ケ</t>
    </rPh>
    <rPh sb="7" eb="9">
      <t>ニュウリョク</t>
    </rPh>
    <rPh sb="11" eb="12">
      <t>クダ</t>
    </rPh>
    <phoneticPr fontId="19"/>
  </si>
  <si>
    <t>参加申込書は３部作成し、それぞれに職印を押印のうえ、２部を大会１０日前までに専門委員長に送付、</t>
    <phoneticPr fontId="19"/>
  </si>
  <si>
    <t>１部は学校控えとすること。</t>
  </si>
  <si>
    <t>県大会参加負担金</t>
    <rPh sb="0" eb="3">
      <t>ケンタイカイ</t>
    </rPh>
    <rPh sb="3" eb="5">
      <t>サンカ</t>
    </rPh>
    <rPh sb="5" eb="8">
      <t>フタンキン</t>
    </rPh>
    <phoneticPr fontId="19"/>
  </si>
  <si>
    <t>団体</t>
    <rPh sb="0" eb="2">
      <t>ダンタイ</t>
    </rPh>
    <phoneticPr fontId="19"/>
  </si>
  <si>
    <t>５０００円</t>
    <rPh sb="4" eb="5">
      <t>エン</t>
    </rPh>
    <phoneticPr fontId="19"/>
  </si>
  <si>
    <t>個人</t>
    <rPh sb="0" eb="2">
      <t>コジン</t>
    </rPh>
    <phoneticPr fontId="19"/>
  </si>
  <si>
    <t>５００円</t>
    <rPh sb="3" eb="4">
      <t>エン</t>
    </rPh>
    <phoneticPr fontId="19"/>
  </si>
  <si>
    <t>×</t>
    <phoneticPr fontId="19"/>
  </si>
  <si>
    <t>人</t>
    <rPh sb="0" eb="1">
      <t>ニン</t>
    </rPh>
    <phoneticPr fontId="19"/>
  </si>
  <si>
    <t>円</t>
    <rPh sb="0" eb="1">
      <t>エン</t>
    </rPh>
    <phoneticPr fontId="19"/>
  </si>
  <si>
    <t>合計</t>
    <rPh sb="0" eb="2">
      <t>ゴウケイ</t>
    </rPh>
    <phoneticPr fontId="19"/>
  </si>
  <si>
    <t>　上記のものは本校在学生徒で、表記大会に出場することを認め、参加申し込みをいたします。
また、高体連個人情報に関する取り扱いについては、本大会要項の記載事項を承諾した上で参加申し込みをする事を同意します。</t>
    <phoneticPr fontId="19"/>
  </si>
  <si>
    <t>福岡　太郎</t>
    <rPh sb="0" eb="2">
      <t>フクオカ</t>
    </rPh>
    <rPh sb="3" eb="5">
      <t>タロウ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</si>
</sst>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rgb="FF000000"/>
      <name val="ＭＳ Ｐゴシック"/>
      <charset val="1"/>
    </font>
    <font>
      <sz val="11"/>
      <color rgb="FF000000"/>
      <name val="ＭＳ Ｐゴシック"/>
      <family val="3"/>
      <charset val="128"/>
    </font>
    <font>
      <sz val="11"/>
      <color rgb="FF000000"/>
      <name val="ＭＳ Ｐ明朝"/>
      <family val="1"/>
      <charset val="128"/>
    </font>
    <font>
      <sz val="14"/>
      <color rgb="FF000000"/>
      <name val="ＭＳ Ｐゴシック"/>
      <family val="3"/>
      <charset val="128"/>
    </font>
    <font>
      <sz val="9"/>
      <color rgb="FF000000"/>
      <name val="ＭＳ Ｐ明朝"/>
      <family val="1"/>
      <charset val="128"/>
    </font>
    <font>
      <sz val="7"/>
      <color rgb="FF000000"/>
      <name val="ＭＳ Ｐ明朝"/>
      <family val="1"/>
      <charset val="128"/>
    </font>
    <font>
      <b/>
      <sz val="11"/>
      <color rgb="FF000000"/>
      <name val="ＭＳ Ｐゴシック"/>
      <family val="3"/>
      <charset val="128"/>
    </font>
    <font>
      <b/>
      <sz val="14"/>
      <color rgb="FF000000"/>
      <name val="ＭＳ Ｐゴシック"/>
      <family val="3"/>
      <charset val="128"/>
    </font>
    <font>
      <b/>
      <sz val="11"/>
      <color rgb="FFFF0000"/>
      <name val="ＭＳ Ｐゴシック"/>
      <family val="3"/>
      <charset val="128"/>
    </font>
    <font>
      <sz val="11"/>
      <color rgb="FFFFFFFF"/>
      <name val="ＭＳ Ｐゴシック"/>
      <family val="3"/>
      <charset val="128"/>
    </font>
    <font>
      <sz val="8"/>
      <color rgb="FF000000"/>
      <name val="ＭＳ Ｐゴシック"/>
      <family val="3"/>
      <charset val="128"/>
    </font>
    <font>
      <sz val="10"/>
      <color rgb="FF000000"/>
      <name val="ＭＳ Ｐゴシック"/>
      <family val="3"/>
      <charset val="128"/>
    </font>
    <font>
      <sz val="11"/>
      <color rgb="FFFF0000"/>
      <name val="ＭＳ Ｐゴシック"/>
      <family val="3"/>
      <charset val="128"/>
    </font>
    <font>
      <sz val="16"/>
      <color rgb="FF000000"/>
      <name val="ＭＳ Ｐ明朝"/>
      <family val="1"/>
      <charset val="128"/>
    </font>
    <font>
      <sz val="14"/>
      <color rgb="FF000000"/>
      <name val="ＭＳ Ｐ明朝"/>
      <family val="1"/>
      <charset val="128"/>
    </font>
    <font>
      <b/>
      <sz val="12"/>
      <color rgb="FF000000"/>
      <name val="ＭＳ Ｐゴシック"/>
      <family val="3"/>
      <charset val="128"/>
    </font>
    <font>
      <sz val="16"/>
      <color rgb="FF000000"/>
      <name val="ＭＳ Ｐゴシック"/>
      <family val="3"/>
      <charset val="128"/>
    </font>
    <font>
      <sz val="12"/>
      <color rgb="FF000000"/>
      <name val="ＭＳ Ｐ明朝"/>
      <family val="1"/>
      <charset val="128"/>
    </font>
    <font>
      <sz val="18"/>
      <color rgb="FF000000"/>
      <name val="ＭＳ Ｐ明朝"/>
      <family val="1"/>
      <charset val="128"/>
    </font>
    <font>
      <sz val="6"/>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s>
  <fills count="4">
    <fill>
      <patternFill patternType="none"/>
    </fill>
    <fill>
      <patternFill patternType="gray125"/>
    </fill>
    <fill>
      <patternFill patternType="solid">
        <fgColor rgb="FFFFFF00"/>
        <bgColor rgb="FF000000"/>
      </patternFill>
    </fill>
    <fill>
      <patternFill patternType="solid">
        <fgColor theme="3" tint="0.39997558519241921"/>
        <bgColor indexed="64"/>
      </patternFill>
    </fill>
  </fills>
  <borders count="104">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thin">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bottom/>
      <diagonal/>
    </border>
    <border>
      <left style="medium">
        <color rgb="FF000000"/>
      </left>
      <right style="thin">
        <color rgb="FF000000"/>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medium">
        <color rgb="FF000000"/>
      </left>
      <right style="thin">
        <color rgb="FF000000"/>
      </right>
      <top style="double">
        <color rgb="FF000000"/>
      </top>
      <bottom style="hair">
        <color rgb="FF000000"/>
      </bottom>
      <diagonal/>
    </border>
    <border>
      <left style="thin">
        <color rgb="FF000000"/>
      </left>
      <right style="thin">
        <color rgb="FF000000"/>
      </right>
      <top style="double">
        <color rgb="FF000000"/>
      </top>
      <bottom style="hair">
        <color rgb="FF000000"/>
      </bottom>
      <diagonal/>
    </border>
    <border>
      <left style="medium">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medium">
        <color rgb="FF000000"/>
      </left>
      <right style="thin">
        <color rgb="FF000000"/>
      </right>
      <top style="hair">
        <color rgb="FF000000"/>
      </top>
      <bottom style="medium">
        <color rgb="FF000000"/>
      </bottom>
      <diagonal/>
    </border>
    <border>
      <left style="thin">
        <color rgb="FF000000"/>
      </left>
      <right style="thin">
        <color rgb="FF000000"/>
      </right>
      <top style="hair">
        <color rgb="FF000000"/>
      </top>
      <bottom style="medium">
        <color rgb="FF000000"/>
      </bottom>
      <diagonal/>
    </border>
    <border>
      <left style="thin">
        <color rgb="FF000000"/>
      </left>
      <right/>
      <top style="medium">
        <color rgb="FF000000"/>
      </top>
      <bottom style="double">
        <color rgb="FF000000"/>
      </bottom>
      <diagonal/>
    </border>
    <border>
      <left style="thin">
        <color rgb="FF000000"/>
      </left>
      <right/>
      <top style="double">
        <color rgb="FF000000"/>
      </top>
      <bottom style="hair">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medium">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style="thin">
        <color rgb="FF000000"/>
      </top>
      <bottom style="double">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right/>
      <top style="thin">
        <color rgb="FF000000"/>
      </top>
      <bottom style="thin">
        <color rgb="FF000000"/>
      </bottom>
      <diagonal/>
    </border>
    <border>
      <left style="medium">
        <color rgb="FF000000"/>
      </left>
      <right style="medium">
        <color rgb="FF000000"/>
      </right>
      <top/>
      <bottom style="medium">
        <color rgb="FF000000"/>
      </bottom>
      <diagonal/>
    </border>
    <border>
      <left/>
      <right/>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bottom/>
      <diagonal/>
    </border>
    <border>
      <left/>
      <right/>
      <top style="thin">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right/>
      <top style="medium">
        <color rgb="FF000000"/>
      </top>
      <bottom style="medium">
        <color rgb="FF000000"/>
      </bottom>
      <diagonal/>
    </border>
    <border>
      <left style="thin">
        <color rgb="FF000000"/>
      </left>
      <right/>
      <top style="thin">
        <color rgb="FF000000"/>
      </top>
      <bottom style="double">
        <color rgb="FF000000"/>
      </bottom>
      <diagonal/>
    </border>
    <border>
      <left style="thin">
        <color rgb="FF000000"/>
      </left>
      <right/>
      <top/>
      <bottom/>
      <diagonal/>
    </border>
    <border>
      <left/>
      <right style="thin">
        <color rgb="FF000000"/>
      </right>
      <top style="hair">
        <color rgb="FF000000"/>
      </top>
      <bottom style="hair">
        <color rgb="FF000000"/>
      </bottom>
      <diagonal/>
    </border>
    <border>
      <left/>
      <right style="thin">
        <color rgb="FF000000"/>
      </right>
      <top style="medium">
        <color rgb="FF000000"/>
      </top>
      <bottom style="double">
        <color rgb="FF000000"/>
      </bottom>
      <diagonal/>
    </border>
    <border>
      <left/>
      <right style="thin">
        <color rgb="FF000000"/>
      </right>
      <top style="double">
        <color rgb="FF000000"/>
      </top>
      <bottom style="hair">
        <color rgb="FF000000"/>
      </bottom>
      <diagonal/>
    </border>
    <border>
      <left/>
      <right style="thin">
        <color rgb="FF000000"/>
      </right>
      <top style="hair">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right style="thin">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rgb="FF000000"/>
      </left>
      <right style="thin">
        <color rgb="FF000000"/>
      </right>
      <top style="medium">
        <color rgb="FF000000"/>
      </top>
      <bottom style="medium">
        <color rgb="FF000000"/>
      </bottom>
      <diagonal/>
    </border>
    <border>
      <left style="medium">
        <color rgb="FF000000"/>
      </left>
      <right/>
      <top style="thin">
        <color rgb="FF000000"/>
      </top>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right style="thin">
        <color rgb="FF000000"/>
      </right>
      <top style="medium">
        <color rgb="FF000000"/>
      </top>
      <bottom/>
      <diagonal/>
    </border>
    <border>
      <left style="medium">
        <color rgb="FF000000"/>
      </left>
      <right/>
      <top/>
      <bottom style="thin">
        <color rgb="FF000000"/>
      </bottom>
      <diagonal/>
    </border>
    <border>
      <left style="thin">
        <color rgb="FF000000"/>
      </left>
      <right/>
      <top style="medium">
        <color rgb="FF000000"/>
      </top>
      <bottom style="thin">
        <color rgb="FF000000"/>
      </bottom>
      <diagonal/>
    </border>
    <border>
      <left/>
      <right style="thin">
        <color rgb="FF000000"/>
      </right>
      <top/>
      <bottom style="medium">
        <color rgb="FF000000"/>
      </bottom>
      <diagonal/>
    </border>
    <border>
      <left/>
      <right/>
      <top style="medium">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bottom style="hair">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83">
    <xf numFmtId="0" fontId="0" fillId="0" borderId="0" xfId="0"/>
    <xf numFmtId="0" fontId="0" fillId="0" borderId="0" xfId="0" applyNumberFormat="1" applyFont="1" applyBorder="1" applyAlignment="1">
      <alignment vertical="center"/>
    </xf>
    <xf numFmtId="0" fontId="0" fillId="0" borderId="1" xfId="0" applyNumberFormat="1" applyFont="1" applyBorder="1" applyAlignment="1">
      <alignment vertical="center"/>
    </xf>
    <xf numFmtId="0" fontId="0" fillId="0" borderId="2" xfId="0" applyNumberFormat="1" applyFont="1" applyBorder="1" applyAlignment="1">
      <alignment vertical="center"/>
    </xf>
    <xf numFmtId="0" fontId="2" fillId="0" borderId="0" xfId="0" applyNumberFormat="1" applyFont="1" applyBorder="1" applyAlignment="1">
      <alignment vertical="center"/>
    </xf>
    <xf numFmtId="0" fontId="2" fillId="0" borderId="3" xfId="0" applyNumberFormat="1" applyFont="1" applyBorder="1" applyAlignment="1">
      <alignment vertical="center"/>
    </xf>
    <xf numFmtId="0" fontId="2" fillId="0" borderId="4" xfId="0" applyNumberFormat="1" applyFont="1" applyBorder="1" applyAlignment="1">
      <alignment vertical="center"/>
    </xf>
    <xf numFmtId="0" fontId="2" fillId="0" borderId="5" xfId="0" applyNumberFormat="1" applyFont="1" applyBorder="1" applyAlignment="1">
      <alignment vertical="center"/>
    </xf>
    <xf numFmtId="0" fontId="2" fillId="0" borderId="6" xfId="0" applyNumberFormat="1" applyFont="1" applyBorder="1" applyAlignment="1">
      <alignment vertical="center"/>
    </xf>
    <xf numFmtId="0" fontId="3" fillId="0" borderId="7" xfId="0" applyNumberFormat="1" applyFont="1" applyBorder="1" applyAlignment="1">
      <alignment vertical="center"/>
    </xf>
    <xf numFmtId="0" fontId="0" fillId="0" borderId="0" xfId="0" applyNumberFormat="1" applyFont="1" applyBorder="1" applyAlignment="1">
      <alignment horizontal="center" vertical="center"/>
    </xf>
    <xf numFmtId="0" fontId="2" fillId="0" borderId="8" xfId="0" applyNumberFormat="1" applyFont="1" applyBorder="1" applyAlignment="1">
      <alignment horizontal="center" vertical="center"/>
    </xf>
    <xf numFmtId="0" fontId="0" fillId="0" borderId="8" xfId="0" applyNumberFormat="1" applyFont="1" applyBorder="1" applyAlignment="1">
      <alignment horizontal="center" vertical="center"/>
    </xf>
    <xf numFmtId="0" fontId="4" fillId="0" borderId="9" xfId="0" applyNumberFormat="1" applyFont="1" applyBorder="1" applyAlignment="1">
      <alignment horizontal="center" vertical="center" wrapText="1"/>
    </xf>
    <xf numFmtId="0" fontId="5" fillId="0" borderId="4" xfId="0" applyNumberFormat="1" applyFont="1" applyBorder="1" applyAlignment="1">
      <alignment vertical="center"/>
    </xf>
    <xf numFmtId="0" fontId="5" fillId="0" borderId="6" xfId="0" applyNumberFormat="1" applyFont="1" applyBorder="1" applyAlignment="1">
      <alignment vertical="center"/>
    </xf>
    <xf numFmtId="0" fontId="2" fillId="0" borderId="11" xfId="0" applyNumberFormat="1" applyFont="1" applyBorder="1" applyAlignment="1">
      <alignment vertical="center"/>
    </xf>
    <xf numFmtId="0" fontId="6" fillId="0" borderId="0" xfId="0" applyNumberFormat="1" applyFont="1" applyBorder="1" applyAlignment="1">
      <alignment vertical="center"/>
    </xf>
    <xf numFmtId="0" fontId="7" fillId="0" borderId="0" xfId="0" applyNumberFormat="1" applyFont="1" applyBorder="1" applyAlignment="1">
      <alignment vertical="center"/>
    </xf>
    <xf numFmtId="0" fontId="8" fillId="0" borderId="0" xfId="0" applyNumberFormat="1" applyFont="1" applyBorder="1" applyAlignment="1">
      <alignment vertical="center"/>
    </xf>
    <xf numFmtId="0" fontId="0" fillId="0" borderId="12" xfId="0" applyNumberFormat="1" applyFont="1" applyBorder="1" applyAlignment="1">
      <alignment horizontal="center" vertical="center"/>
    </xf>
    <xf numFmtId="0" fontId="0" fillId="0" borderId="13" xfId="0" applyNumberFormat="1" applyFont="1" applyBorder="1" applyAlignment="1">
      <alignment horizontal="center" vertical="center" wrapText="1"/>
    </xf>
    <xf numFmtId="0" fontId="0" fillId="0" borderId="13"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2" fillId="0" borderId="15" xfId="0" applyNumberFormat="1" applyFont="1" applyBorder="1" applyAlignment="1">
      <alignment horizontal="center" vertical="center"/>
    </xf>
    <xf numFmtId="58" fontId="2" fillId="0" borderId="15" xfId="0" applyNumberFormat="1" applyFont="1" applyBorder="1" applyAlignment="1">
      <alignment horizontal="center" vertical="center"/>
    </xf>
    <xf numFmtId="0" fontId="0" fillId="0" borderId="16" xfId="0" applyNumberFormat="1" applyFont="1" applyBorder="1" applyAlignment="1">
      <alignment horizontal="center" vertical="center"/>
    </xf>
    <xf numFmtId="0" fontId="2" fillId="0" borderId="17" xfId="0" applyNumberFormat="1" applyFont="1" applyBorder="1" applyAlignment="1">
      <alignment horizontal="center" vertical="center"/>
    </xf>
    <xf numFmtId="58" fontId="2" fillId="0" borderId="17" xfId="0" applyNumberFormat="1" applyFont="1" applyBorder="1" applyAlignment="1">
      <alignment horizontal="center" vertical="center"/>
    </xf>
    <xf numFmtId="0" fontId="0" fillId="0" borderId="17" xfId="0" applyNumberFormat="1" applyFont="1" applyBorder="1" applyAlignment="1">
      <alignment horizontal="center" vertical="center"/>
    </xf>
    <xf numFmtId="0" fontId="0" fillId="0" borderId="18" xfId="0" applyNumberFormat="1" applyFont="1" applyBorder="1" applyAlignment="1">
      <alignment horizontal="center" vertical="center"/>
    </xf>
    <xf numFmtId="0" fontId="0" fillId="0" borderId="19" xfId="0" applyNumberFormat="1" applyFont="1" applyBorder="1" applyAlignment="1">
      <alignment horizontal="center" vertical="center"/>
    </xf>
    <xf numFmtId="0" fontId="9" fillId="0" borderId="0" xfId="0" applyNumberFormat="1" applyFont="1" applyBorder="1" applyAlignment="1">
      <alignment vertical="center"/>
    </xf>
    <xf numFmtId="0" fontId="0" fillId="0" borderId="20"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2" fillId="0" borderId="22" xfId="0" applyNumberFormat="1" applyFont="1" applyBorder="1" applyAlignment="1">
      <alignment horizontal="center" vertical="center"/>
    </xf>
    <xf numFmtId="0" fontId="0" fillId="0" borderId="22" xfId="0" applyNumberFormat="1" applyFont="1" applyBorder="1" applyAlignment="1">
      <alignment horizontal="center" vertical="center"/>
    </xf>
    <xf numFmtId="0" fontId="0" fillId="0" borderId="23" xfId="0" applyNumberFormat="1" applyFont="1" applyBorder="1" applyAlignment="1">
      <alignment horizontal="center" vertical="center"/>
    </xf>
    <xf numFmtId="0" fontId="0" fillId="0" borderId="0" xfId="0" applyNumberFormat="1" applyFont="1" applyFill="1" applyBorder="1" applyAlignment="1">
      <alignment vertical="center"/>
    </xf>
    <xf numFmtId="0" fontId="3" fillId="0" borderId="7" xfId="0" applyNumberFormat="1" applyFont="1" applyFill="1" applyBorder="1" applyAlignment="1">
      <alignment vertical="center"/>
    </xf>
    <xf numFmtId="0" fontId="0" fillId="0" borderId="8"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0" fillId="0" borderId="10" xfId="0" applyNumberFormat="1" applyFont="1" applyFill="1" applyBorder="1" applyAlignment="1">
      <alignment vertical="center"/>
    </xf>
    <xf numFmtId="0" fontId="0" fillId="0" borderId="1" xfId="0" applyNumberFormat="1" applyFont="1" applyFill="1" applyBorder="1" applyAlignment="1">
      <alignment vertical="center"/>
    </xf>
    <xf numFmtId="0" fontId="0" fillId="0" borderId="2" xfId="0" applyNumberFormat="1" applyFont="1" applyFill="1" applyBorder="1" applyAlignment="1">
      <alignment vertical="center"/>
    </xf>
    <xf numFmtId="0" fontId="2" fillId="0" borderId="3" xfId="0" applyNumberFormat="1" applyFont="1" applyFill="1" applyBorder="1" applyAlignment="1">
      <alignment vertical="center"/>
    </xf>
    <xf numFmtId="0" fontId="2" fillId="0" borderId="4" xfId="0" applyNumberFormat="1" applyFont="1" applyFill="1" applyBorder="1" applyAlignment="1">
      <alignment vertical="center"/>
    </xf>
    <xf numFmtId="0" fontId="2" fillId="0" borderId="5" xfId="0" applyNumberFormat="1" applyFont="1" applyFill="1" applyBorder="1" applyAlignment="1">
      <alignment vertical="center"/>
    </xf>
    <xf numFmtId="0" fontId="2" fillId="0" borderId="6" xfId="0" applyNumberFormat="1" applyFont="1" applyFill="1" applyBorder="1" applyAlignment="1">
      <alignment vertical="center"/>
    </xf>
    <xf numFmtId="0" fontId="0" fillId="0" borderId="24" xfId="0" applyNumberFormat="1" applyFont="1" applyBorder="1" applyAlignment="1">
      <alignment horizontal="center" vertical="center"/>
    </xf>
    <xf numFmtId="0" fontId="2" fillId="2" borderId="15" xfId="0" applyNumberFormat="1" applyFont="1" applyFill="1" applyBorder="1" applyAlignment="1">
      <alignment horizontal="center" vertical="center"/>
    </xf>
    <xf numFmtId="0" fontId="2" fillId="2" borderId="17" xfId="0" applyNumberFormat="1" applyFont="1" applyFill="1" applyBorder="1" applyAlignment="1">
      <alignment horizontal="center" vertical="center"/>
    </xf>
    <xf numFmtId="0" fontId="2" fillId="2" borderId="19" xfId="0" applyNumberFormat="1" applyFont="1" applyFill="1" applyBorder="1" applyAlignment="1">
      <alignment horizontal="center" vertical="center"/>
    </xf>
    <xf numFmtId="0" fontId="10" fillId="0" borderId="0" xfId="0" applyNumberFormat="1" applyFont="1" applyBorder="1" applyAlignment="1">
      <alignment vertical="center"/>
    </xf>
    <xf numFmtId="0" fontId="11" fillId="0" borderId="25" xfId="0" applyNumberFormat="1" applyFont="1" applyBorder="1" applyAlignment="1">
      <alignment vertical="center" wrapText="1"/>
    </xf>
    <xf numFmtId="0" fontId="2"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12" fillId="2" borderId="26" xfId="0" applyNumberFormat="1" applyFont="1" applyFill="1" applyBorder="1" applyAlignment="1">
      <alignment vertical="center"/>
    </xf>
    <xf numFmtId="0" fontId="12" fillId="2" borderId="27" xfId="0" applyNumberFormat="1" applyFont="1" applyFill="1" applyBorder="1" applyAlignment="1">
      <alignment vertical="center"/>
    </xf>
    <xf numFmtId="0" fontId="0" fillId="2" borderId="27" xfId="0" applyNumberFormat="1" applyFont="1" applyFill="1" applyBorder="1" applyAlignment="1">
      <alignment vertical="center"/>
    </xf>
    <xf numFmtId="0" fontId="0" fillId="2" borderId="3" xfId="0" applyNumberFormat="1" applyFont="1" applyFill="1" applyBorder="1" applyAlignment="1">
      <alignment vertical="center"/>
    </xf>
    <xf numFmtId="0" fontId="12" fillId="2" borderId="28" xfId="0" applyNumberFormat="1" applyFont="1" applyFill="1" applyBorder="1" applyAlignment="1">
      <alignment vertical="center"/>
    </xf>
    <xf numFmtId="0" fontId="12" fillId="2" borderId="0" xfId="0" applyNumberFormat="1" applyFont="1" applyFill="1" applyBorder="1" applyAlignment="1">
      <alignment vertical="center"/>
    </xf>
    <xf numFmtId="0" fontId="0" fillId="2" borderId="0" xfId="0" applyNumberFormat="1" applyFont="1" applyFill="1" applyBorder="1" applyAlignment="1">
      <alignment vertical="center"/>
    </xf>
    <xf numFmtId="0" fontId="0" fillId="2" borderId="11" xfId="0" applyNumberFormat="1" applyFont="1" applyFill="1" applyBorder="1" applyAlignment="1">
      <alignment vertical="center"/>
    </xf>
    <xf numFmtId="0" fontId="12" fillId="2" borderId="29" xfId="0" applyNumberFormat="1" applyFont="1" applyFill="1" applyBorder="1" applyAlignment="1">
      <alignment vertical="center"/>
    </xf>
    <xf numFmtId="0" fontId="12" fillId="2" borderId="7" xfId="0" applyNumberFormat="1" applyFont="1" applyFill="1" applyBorder="1" applyAlignment="1">
      <alignment vertical="center"/>
    </xf>
    <xf numFmtId="0" fontId="0" fillId="2" borderId="7" xfId="0" applyNumberFormat="1" applyFont="1" applyFill="1" applyBorder="1" applyAlignment="1">
      <alignment vertical="center"/>
    </xf>
    <xf numFmtId="0" fontId="0" fillId="2" borderId="6" xfId="0" applyNumberFormat="1" applyFont="1" applyFill="1" applyBorder="1" applyAlignment="1">
      <alignment vertical="center"/>
    </xf>
    <xf numFmtId="0" fontId="0" fillId="0" borderId="30" xfId="0" applyNumberFormat="1" applyFont="1" applyBorder="1" applyAlignment="1">
      <alignment horizontal="center" vertical="center"/>
    </xf>
    <xf numFmtId="0" fontId="0" fillId="0" borderId="31" xfId="0" applyNumberFormat="1" applyFont="1" applyBorder="1" applyAlignment="1">
      <alignment vertical="center"/>
    </xf>
    <xf numFmtId="0" fontId="11" fillId="0" borderId="25" xfId="0" applyNumberFormat="1" applyFont="1" applyBorder="1" applyAlignment="1">
      <alignment horizontal="center" vertical="center"/>
    </xf>
    <xf numFmtId="0" fontId="0" fillId="0" borderId="32" xfId="0" applyNumberFormat="1" applyFont="1" applyBorder="1" applyAlignment="1">
      <alignment horizontal="center" vertical="center"/>
    </xf>
    <xf numFmtId="0" fontId="0" fillId="0" borderId="33" xfId="0" applyNumberFormat="1" applyFont="1" applyBorder="1" applyAlignment="1">
      <alignment horizontal="center" vertical="center"/>
    </xf>
    <xf numFmtId="0" fontId="0" fillId="0" borderId="34" xfId="0" applyNumberFormat="1" applyFont="1" applyBorder="1" applyAlignment="1">
      <alignment vertical="center"/>
    </xf>
    <xf numFmtId="0" fontId="11" fillId="0" borderId="0" xfId="0" applyNumberFormat="1" applyFont="1" applyBorder="1" applyAlignment="1">
      <alignment horizontal="center" vertical="center" wrapText="1"/>
    </xf>
    <xf numFmtId="0" fontId="0" fillId="0" borderId="25" xfId="0" applyNumberFormat="1" applyFont="1" applyBorder="1" applyAlignment="1">
      <alignment vertical="center"/>
    </xf>
    <xf numFmtId="0" fontId="2" fillId="2" borderId="35" xfId="0" applyNumberFormat="1" applyFont="1" applyFill="1" applyBorder="1" applyAlignment="1">
      <alignment horizontal="center" vertical="center"/>
    </xf>
    <xf numFmtId="0" fontId="0" fillId="0" borderId="36" xfId="0" applyNumberFormat="1" applyFont="1" applyBorder="1" applyAlignment="1">
      <alignment vertical="center"/>
    </xf>
    <xf numFmtId="0" fontId="0" fillId="0" borderId="28" xfId="0" applyNumberFormat="1" applyFont="1" applyBorder="1" applyAlignment="1">
      <alignment vertical="center"/>
    </xf>
    <xf numFmtId="0" fontId="0" fillId="2" borderId="33" xfId="0" applyNumberFormat="1" applyFont="1" applyFill="1" applyBorder="1" applyAlignment="1">
      <alignment vertical="center"/>
    </xf>
    <xf numFmtId="0" fontId="10" fillId="0" borderId="37" xfId="0" applyNumberFormat="1" applyFont="1" applyBorder="1" applyAlignment="1">
      <alignment vertical="center"/>
    </xf>
    <xf numFmtId="0" fontId="10" fillId="0" borderId="38" xfId="0" applyNumberFormat="1" applyFont="1" applyBorder="1" applyAlignment="1">
      <alignment vertical="center"/>
    </xf>
    <xf numFmtId="0" fontId="10" fillId="0" borderId="39" xfId="0" applyNumberFormat="1" applyFont="1" applyBorder="1" applyAlignment="1">
      <alignment vertical="center"/>
    </xf>
    <xf numFmtId="0" fontId="10" fillId="0" borderId="40" xfId="0" applyNumberFormat="1" applyFont="1" applyBorder="1" applyAlignment="1">
      <alignment vertical="center"/>
    </xf>
    <xf numFmtId="0" fontId="10" fillId="0" borderId="31" xfId="0" applyNumberFormat="1" applyFont="1" applyBorder="1" applyAlignment="1">
      <alignment vertical="center"/>
    </xf>
    <xf numFmtId="0" fontId="2" fillId="0" borderId="9" xfId="0" applyNumberFormat="1" applyFont="1" applyFill="1" applyBorder="1" applyAlignment="1">
      <alignment vertical="center"/>
    </xf>
    <xf numFmtId="0" fontId="1" fillId="0" borderId="0" xfId="0" applyFont="1"/>
    <xf numFmtId="0" fontId="0" fillId="0" borderId="10" xfId="0" applyNumberFormat="1" applyFont="1" applyBorder="1" applyAlignment="1">
      <alignment horizontal="center" vertical="center" shrinkToFit="1"/>
    </xf>
    <xf numFmtId="0" fontId="2" fillId="2" borderId="88" xfId="0" applyNumberFormat="1" applyFont="1" applyFill="1" applyBorder="1" applyAlignment="1">
      <alignment horizontal="center" vertical="center"/>
    </xf>
    <xf numFmtId="0" fontId="6" fillId="3" borderId="0" xfId="0" applyNumberFormat="1" applyFont="1" applyFill="1" applyBorder="1" applyAlignment="1">
      <alignment vertical="center"/>
    </xf>
    <xf numFmtId="0" fontId="2" fillId="3" borderId="0" xfId="0" applyNumberFormat="1" applyFont="1" applyFill="1" applyBorder="1" applyAlignment="1">
      <alignment horizontal="center" vertical="center"/>
    </xf>
    <xf numFmtId="0" fontId="0" fillId="3" borderId="0" xfId="0" applyNumberFormat="1" applyFont="1" applyFill="1" applyBorder="1" applyAlignment="1">
      <alignment vertical="center"/>
    </xf>
    <xf numFmtId="0" fontId="0" fillId="3" borderId="0" xfId="0" applyNumberFormat="1" applyFont="1" applyFill="1" applyBorder="1" applyAlignment="1">
      <alignment horizontal="center" vertical="center"/>
    </xf>
    <xf numFmtId="0" fontId="0" fillId="3" borderId="0" xfId="0" applyFill="1"/>
    <xf numFmtId="0" fontId="1" fillId="0" borderId="28" xfId="0"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vertical="center"/>
    </xf>
    <xf numFmtId="0" fontId="21" fillId="0" borderId="0" xfId="0" applyFont="1" applyBorder="1" applyAlignment="1">
      <alignment horizontal="center" vertical="center"/>
    </xf>
    <xf numFmtId="0" fontId="0" fillId="0" borderId="0" xfId="0" applyAlignment="1">
      <alignment vertical="center"/>
    </xf>
    <xf numFmtId="0" fontId="21" fillId="0" borderId="92" xfId="0" applyFont="1" applyBorder="1" applyAlignment="1">
      <alignment horizontal="center" vertical="center"/>
    </xf>
    <xf numFmtId="0" fontId="21" fillId="0" borderId="92" xfId="0" applyFont="1" applyBorder="1" applyAlignment="1">
      <alignment vertical="center"/>
    </xf>
    <xf numFmtId="0" fontId="0" fillId="0" borderId="90" xfId="0" applyBorder="1" applyAlignment="1">
      <alignment vertical="center"/>
    </xf>
    <xf numFmtId="0" fontId="22" fillId="0" borderId="89"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Border="1" applyAlignment="1">
      <alignment horizontal="right" vertical="center"/>
    </xf>
    <xf numFmtId="0" fontId="0" fillId="0" borderId="0" xfId="0" applyBorder="1" applyAlignment="1">
      <alignment vertical="center"/>
    </xf>
    <xf numFmtId="0" fontId="12" fillId="0" borderId="97" xfId="0" applyNumberFormat="1" applyFont="1" applyFill="1" applyBorder="1" applyAlignment="1">
      <alignment vertical="center"/>
    </xf>
    <xf numFmtId="0" fontId="12" fillId="0" borderId="98" xfId="0" applyNumberFormat="1" applyFont="1" applyFill="1" applyBorder="1" applyAlignment="1">
      <alignment vertical="center"/>
    </xf>
    <xf numFmtId="0" fontId="12" fillId="0" borderId="98" xfId="0" applyFont="1" applyFill="1" applyBorder="1"/>
    <xf numFmtId="0" fontId="12" fillId="0" borderId="99" xfId="0" applyFont="1" applyFill="1" applyBorder="1"/>
    <xf numFmtId="0" fontId="12" fillId="0" borderId="91" xfId="0" applyNumberFormat="1" applyFont="1" applyFill="1" applyBorder="1" applyAlignment="1">
      <alignment vertical="center"/>
    </xf>
    <xf numFmtId="0" fontId="12" fillId="0" borderId="0" xfId="0" applyNumberFormat="1" applyFont="1" applyFill="1" applyBorder="1" applyAlignment="1">
      <alignment vertical="center"/>
    </xf>
    <xf numFmtId="0" fontId="12" fillId="0" borderId="0" xfId="0" applyFont="1" applyFill="1" applyBorder="1"/>
    <xf numFmtId="0" fontId="12" fillId="0" borderId="100" xfId="0" applyFont="1" applyFill="1" applyBorder="1"/>
    <xf numFmtId="0" fontId="12" fillId="0" borderId="101" xfId="0" applyNumberFormat="1" applyFont="1" applyFill="1" applyBorder="1" applyAlignment="1">
      <alignment vertical="center"/>
    </xf>
    <xf numFmtId="0" fontId="12" fillId="0" borderId="102" xfId="0" applyNumberFormat="1" applyFont="1" applyFill="1" applyBorder="1" applyAlignment="1">
      <alignment vertical="center"/>
    </xf>
    <xf numFmtId="0" fontId="12" fillId="0" borderId="102" xfId="0" applyFont="1" applyFill="1" applyBorder="1"/>
    <xf numFmtId="0" fontId="12" fillId="0" borderId="103" xfId="0" applyFont="1" applyFill="1" applyBorder="1"/>
    <xf numFmtId="0" fontId="0" fillId="0" borderId="41" xfId="0" applyNumberFormat="1" applyFont="1" applyBorder="1" applyAlignment="1">
      <alignment horizontal="center" vertical="center"/>
    </xf>
    <xf numFmtId="0" fontId="0" fillId="0" borderId="42" xfId="0" applyNumberFormat="1" applyFont="1" applyBorder="1" applyAlignment="1">
      <alignment horizontal="center" vertical="center"/>
    </xf>
    <xf numFmtId="0" fontId="0" fillId="0" borderId="38" xfId="0" applyNumberFormat="1" applyFont="1" applyBorder="1" applyAlignment="1">
      <alignment horizontal="center" vertical="center"/>
    </xf>
    <xf numFmtId="0" fontId="0" fillId="0" borderId="43" xfId="0" applyNumberFormat="1" applyFont="1" applyBorder="1" applyAlignment="1">
      <alignment horizontal="center" vertical="center"/>
    </xf>
    <xf numFmtId="0" fontId="0" fillId="2" borderId="41" xfId="0" applyNumberFormat="1" applyFont="1" applyFill="1" applyBorder="1" applyAlignment="1">
      <alignment horizontal="center" vertical="center"/>
    </xf>
    <xf numFmtId="0" fontId="0" fillId="2" borderId="42"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36" xfId="0" applyNumberFormat="1" applyFont="1" applyBorder="1" applyAlignment="1">
      <alignment horizontal="center" vertical="center"/>
    </xf>
    <xf numFmtId="0" fontId="0" fillId="0" borderId="44" xfId="0" applyNumberFormat="1" applyFont="1" applyBorder="1" applyAlignment="1">
      <alignment horizontal="center" vertical="center"/>
    </xf>
    <xf numFmtId="0" fontId="0" fillId="0" borderId="31" xfId="0" applyNumberFormat="1" applyFont="1" applyBorder="1" applyAlignment="1">
      <alignment horizontal="center" vertical="center"/>
    </xf>
    <xf numFmtId="0" fontId="0" fillId="0" borderId="37" xfId="0" applyNumberFormat="1" applyFont="1" applyBorder="1" applyAlignment="1">
      <alignment horizontal="center" vertical="center"/>
    </xf>
    <xf numFmtId="0" fontId="0" fillId="0" borderId="45" xfId="0" applyNumberFormat="1" applyFont="1" applyBorder="1" applyAlignment="1">
      <alignment horizontal="center" vertical="center"/>
    </xf>
    <xf numFmtId="0" fontId="0" fillId="0" borderId="0" xfId="0" applyNumberFormat="1" applyFont="1" applyBorder="1" applyAlignment="1">
      <alignment horizontal="center" vertical="center"/>
    </xf>
    <xf numFmtId="0" fontId="0" fillId="0" borderId="40"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3" xfId="0" applyNumberFormat="1" applyFont="1" applyBorder="1" applyAlignment="1">
      <alignment horizontal="center" vertical="center"/>
    </xf>
    <xf numFmtId="0" fontId="10" fillId="0" borderId="38"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39" xfId="0" applyNumberFormat="1" applyFont="1" applyBorder="1" applyAlignment="1">
      <alignment horizontal="center" vertical="center"/>
    </xf>
    <xf numFmtId="0" fontId="10" fillId="0" borderId="46"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58" fontId="2" fillId="0" borderId="22" xfId="0" applyNumberFormat="1" applyFont="1" applyBorder="1" applyAlignment="1">
      <alignment horizontal="center" vertical="center"/>
    </xf>
    <xf numFmtId="58" fontId="2" fillId="0" borderId="47"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0" fillId="0" borderId="48" xfId="0" applyNumberFormat="1" applyFont="1" applyBorder="1" applyAlignment="1">
      <alignment horizontal="center" vertical="center"/>
    </xf>
    <xf numFmtId="58" fontId="2" fillId="0" borderId="21" xfId="0" applyNumberFormat="1" applyFont="1" applyBorder="1" applyAlignment="1">
      <alignment horizontal="center" vertical="center"/>
    </xf>
    <xf numFmtId="58" fontId="2" fillId="0" borderId="49" xfId="0" applyNumberFormat="1" applyFont="1" applyBorder="1" applyAlignment="1">
      <alignment horizontal="center" vertical="center"/>
    </xf>
    <xf numFmtId="0" fontId="0" fillId="0" borderId="23" xfId="0" applyNumberFormat="1" applyFont="1" applyBorder="1" applyAlignment="1">
      <alignment horizontal="center" vertical="center"/>
    </xf>
    <xf numFmtId="0" fontId="0" fillId="0" borderId="50" xfId="0" applyNumberFormat="1" applyFont="1" applyBorder="1" applyAlignment="1">
      <alignment horizontal="center" vertical="center"/>
    </xf>
    <xf numFmtId="0" fontId="3" fillId="0" borderId="51" xfId="0" applyNumberFormat="1" applyFont="1" applyFill="1" applyBorder="1" applyAlignment="1">
      <alignment horizontal="center" vertical="center"/>
    </xf>
    <xf numFmtId="0" fontId="3" fillId="0" borderId="52" xfId="0" applyNumberFormat="1" applyFont="1" applyFill="1" applyBorder="1" applyAlignment="1">
      <alignment horizontal="center" vertical="center"/>
    </xf>
    <xf numFmtId="0" fontId="3" fillId="0" borderId="53" xfId="0" applyNumberFormat="1" applyFont="1" applyFill="1" applyBorder="1" applyAlignment="1">
      <alignment horizontal="center" vertical="center"/>
    </xf>
    <xf numFmtId="0" fontId="0" fillId="0" borderId="54" xfId="0" applyNumberFormat="1" applyFont="1" applyFill="1" applyBorder="1" applyAlignment="1">
      <alignment horizontal="center" vertical="center"/>
    </xf>
    <xf numFmtId="0" fontId="0" fillId="0" borderId="55" xfId="0" applyNumberFormat="1" applyFont="1" applyFill="1" applyBorder="1" applyAlignment="1">
      <alignment horizontal="center" vertical="center"/>
    </xf>
    <xf numFmtId="0" fontId="13" fillId="0" borderId="54" xfId="0" applyNumberFormat="1" applyFont="1" applyFill="1" applyBorder="1" applyAlignment="1">
      <alignment horizontal="center" vertical="center"/>
    </xf>
    <xf numFmtId="0" fontId="13" fillId="0" borderId="55"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14" fillId="0" borderId="56" xfId="0" applyNumberFormat="1" applyFont="1" applyFill="1" applyBorder="1" applyAlignment="1">
      <alignment horizontal="center" vertical="center"/>
    </xf>
    <xf numFmtId="58" fontId="2" fillId="0" borderId="57" xfId="0" applyNumberFormat="1" applyFont="1" applyFill="1" applyBorder="1" applyAlignment="1">
      <alignment horizontal="distributed" vertical="center"/>
    </xf>
    <xf numFmtId="58" fontId="2" fillId="0" borderId="58" xfId="0" applyNumberFormat="1" applyFont="1" applyFill="1" applyBorder="1" applyAlignment="1">
      <alignment horizontal="distributed" vertical="center"/>
    </xf>
    <xf numFmtId="58" fontId="2" fillId="0" borderId="59" xfId="0" applyNumberFormat="1" applyFont="1" applyFill="1" applyBorder="1" applyAlignment="1">
      <alignment horizontal="distributed" vertical="center"/>
    </xf>
    <xf numFmtId="0" fontId="13" fillId="0" borderId="60" xfId="0" applyNumberFormat="1" applyFont="1" applyFill="1" applyBorder="1" applyAlignment="1">
      <alignment horizontal="center" vertical="center"/>
    </xf>
    <xf numFmtId="0" fontId="13" fillId="0" borderId="10" xfId="0" applyNumberFormat="1" applyFont="1" applyFill="1" applyBorder="1" applyAlignment="1">
      <alignment horizontal="center" vertical="center"/>
    </xf>
    <xf numFmtId="0" fontId="13" fillId="0" borderId="43" xfId="0" applyNumberFormat="1" applyFont="1" applyFill="1" applyBorder="1" applyAlignment="1">
      <alignment horizontal="center" vertical="center"/>
    </xf>
    <xf numFmtId="0" fontId="13" fillId="0" borderId="56" xfId="0" applyNumberFormat="1" applyFont="1" applyFill="1" applyBorder="1" applyAlignment="1">
      <alignment horizontal="center" vertical="center"/>
    </xf>
    <xf numFmtId="58" fontId="2" fillId="0" borderId="61" xfId="0" applyNumberFormat="1" applyFont="1" applyFill="1" applyBorder="1" applyAlignment="1">
      <alignment horizontal="distributed" vertical="center"/>
    </xf>
    <xf numFmtId="58" fontId="2" fillId="0" borderId="62" xfId="0" applyNumberFormat="1" applyFont="1" applyFill="1" applyBorder="1" applyAlignment="1">
      <alignment horizontal="distributed" vertical="center"/>
    </xf>
    <xf numFmtId="58" fontId="2" fillId="0" borderId="25" xfId="0" applyNumberFormat="1" applyFont="1" applyFill="1" applyBorder="1" applyAlignment="1">
      <alignment horizontal="distributed" vertical="center"/>
    </xf>
    <xf numFmtId="0" fontId="0" fillId="0" borderId="8" xfId="0" applyNumberFormat="1" applyFont="1" applyFill="1" applyBorder="1" applyAlignment="1">
      <alignment horizontal="center" vertical="center"/>
    </xf>
    <xf numFmtId="0" fontId="13" fillId="0" borderId="8" xfId="0" applyNumberFormat="1" applyFont="1" applyFill="1" applyBorder="1" applyAlignment="1">
      <alignment horizontal="center" vertical="center"/>
    </xf>
    <xf numFmtId="0" fontId="14" fillId="0" borderId="9" xfId="0" applyNumberFormat="1" applyFont="1" applyFill="1" applyBorder="1" applyAlignment="1">
      <alignment horizontal="center" vertical="center"/>
    </xf>
    <xf numFmtId="58" fontId="2" fillId="0" borderId="63" xfId="0" applyNumberFormat="1" applyFont="1" applyFill="1" applyBorder="1" applyAlignment="1">
      <alignment horizontal="distributed" vertical="center"/>
    </xf>
    <xf numFmtId="58" fontId="2" fillId="0" borderId="32" xfId="0" applyNumberFormat="1" applyFont="1" applyFill="1" applyBorder="1" applyAlignment="1">
      <alignment horizontal="distributed" vertical="center"/>
    </xf>
    <xf numFmtId="58" fontId="2" fillId="0" borderId="31" xfId="0" applyNumberFormat="1" applyFont="1" applyFill="1" applyBorder="1" applyAlignment="1">
      <alignment horizontal="distributed" vertical="center"/>
    </xf>
    <xf numFmtId="0" fontId="13" fillId="0" borderId="64" xfId="0" applyNumberFormat="1" applyFont="1" applyFill="1" applyBorder="1" applyAlignment="1">
      <alignment horizontal="center" vertical="center"/>
    </xf>
    <xf numFmtId="0" fontId="13" fillId="0" borderId="9" xfId="0" applyNumberFormat="1" applyFont="1" applyFill="1" applyBorder="1" applyAlignment="1">
      <alignment horizontal="center" vertical="center"/>
    </xf>
    <xf numFmtId="58" fontId="2" fillId="0" borderId="65" xfId="0" applyNumberFormat="1" applyFont="1" applyFill="1" applyBorder="1" applyAlignment="1">
      <alignment horizontal="distributed" vertical="center"/>
    </xf>
    <xf numFmtId="58" fontId="2" fillId="0" borderId="66" xfId="0" applyNumberFormat="1" applyFont="1" applyFill="1" applyBorder="1" applyAlignment="1">
      <alignment horizontal="distributed" vertical="center"/>
    </xf>
    <xf numFmtId="58" fontId="2" fillId="0" borderId="67" xfId="0" applyNumberFormat="1" applyFont="1" applyFill="1" applyBorder="1" applyAlignment="1">
      <alignment horizontal="distributed" vertical="center"/>
    </xf>
    <xf numFmtId="0" fontId="15" fillId="0" borderId="68" xfId="0" applyNumberFormat="1" applyFont="1" applyFill="1" applyBorder="1" applyAlignment="1">
      <alignment horizontal="center" vertical="center"/>
    </xf>
    <xf numFmtId="0" fontId="15" fillId="0" borderId="69" xfId="0" applyNumberFormat="1" applyFont="1" applyFill="1" applyBorder="1" applyAlignment="1">
      <alignment horizontal="center" vertical="center"/>
    </xf>
    <xf numFmtId="0" fontId="15" fillId="0" borderId="70" xfId="0" applyNumberFormat="1" applyFont="1" applyFill="1" applyBorder="1" applyAlignment="1">
      <alignment horizontal="center" vertical="center"/>
    </xf>
    <xf numFmtId="0" fontId="3" fillId="0" borderId="0" xfId="0" applyNumberFormat="1" applyFont="1" applyFill="1" applyBorder="1" applyAlignment="1">
      <alignment horizontal="left"/>
    </xf>
    <xf numFmtId="0" fontId="0" fillId="0" borderId="71" xfId="0" applyNumberFormat="1" applyFont="1" applyFill="1" applyBorder="1" applyAlignment="1">
      <alignment horizontal="center" vertical="center"/>
    </xf>
    <xf numFmtId="0" fontId="0" fillId="0" borderId="1"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0" fontId="0" fillId="0" borderId="77" xfId="0" applyNumberFormat="1" applyFont="1" applyFill="1" applyBorder="1" applyAlignment="1">
      <alignment horizontal="center" vertical="center"/>
    </xf>
    <xf numFmtId="0" fontId="13" fillId="0" borderId="72" xfId="0" applyNumberFormat="1" applyFont="1" applyFill="1" applyBorder="1" applyAlignment="1">
      <alignment horizontal="center" vertical="center"/>
    </xf>
    <xf numFmtId="0" fontId="13" fillId="0" borderId="5" xfId="0" applyNumberFormat="1" applyFont="1" applyFill="1" applyBorder="1" applyAlignment="1">
      <alignment horizontal="center" vertical="center"/>
    </xf>
    <xf numFmtId="0" fontId="13" fillId="0" borderId="29" xfId="0" applyNumberFormat="1" applyFont="1" applyFill="1" applyBorder="1" applyAlignment="1">
      <alignment horizontal="center" vertical="center"/>
    </xf>
    <xf numFmtId="0" fontId="13" fillId="0" borderId="6"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51" xfId="0" applyNumberFormat="1" applyFont="1" applyFill="1" applyBorder="1" applyAlignment="1">
      <alignment horizontal="center" vertical="center" wrapText="1"/>
    </xf>
    <xf numFmtId="0" fontId="0" fillId="0" borderId="53" xfId="0" applyNumberFormat="1" applyFont="1" applyFill="1" applyBorder="1" applyAlignment="1">
      <alignment horizontal="center" vertical="center" wrapText="1"/>
    </xf>
    <xf numFmtId="0" fontId="0" fillId="0" borderId="54" xfId="0" applyNumberFormat="1" applyFont="1" applyFill="1" applyBorder="1" applyAlignment="1">
      <alignment horizontal="center" vertical="center" wrapText="1"/>
    </xf>
    <xf numFmtId="0" fontId="0" fillId="0" borderId="8" xfId="0"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xf>
    <xf numFmtId="0" fontId="0" fillId="0" borderId="53" xfId="0" applyNumberFormat="1" applyFont="1" applyFill="1" applyBorder="1" applyAlignment="1">
      <alignment horizontal="center" vertical="center"/>
    </xf>
    <xf numFmtId="0" fontId="7" fillId="0" borderId="7" xfId="0" applyNumberFormat="1" applyFont="1" applyFill="1" applyBorder="1" applyAlignment="1">
      <alignment horizontal="left" vertical="center"/>
    </xf>
    <xf numFmtId="0" fontId="0" fillId="0" borderId="10" xfId="0" applyNumberFormat="1" applyFont="1" applyFill="1" applyBorder="1" applyAlignment="1">
      <alignment horizontal="center" vertical="center"/>
    </xf>
    <xf numFmtId="0" fontId="2" fillId="0" borderId="73" xfId="0" applyNumberFormat="1" applyFont="1" applyFill="1" applyBorder="1" applyAlignment="1">
      <alignment horizontal="center" vertical="center"/>
    </xf>
    <xf numFmtId="0" fontId="2" fillId="0" borderId="74" xfId="0" applyNumberFormat="1" applyFont="1" applyFill="1" applyBorder="1" applyAlignment="1">
      <alignment horizontal="center" vertical="center"/>
    </xf>
    <xf numFmtId="0" fontId="2" fillId="0" borderId="75" xfId="0" applyNumberFormat="1" applyFont="1" applyFill="1" applyBorder="1" applyAlignment="1">
      <alignment horizontal="center" vertical="center"/>
    </xf>
    <xf numFmtId="0" fontId="0" fillId="0" borderId="59" xfId="0" applyNumberFormat="1" applyFont="1" applyFill="1" applyBorder="1" applyAlignment="1">
      <alignment horizontal="center" vertical="center" wrapText="1"/>
    </xf>
    <xf numFmtId="0" fontId="0" fillId="0" borderId="78"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79" xfId="0" applyNumberFormat="1" applyFont="1" applyFill="1" applyBorder="1" applyAlignment="1">
      <alignment horizontal="center" vertical="center" wrapText="1"/>
    </xf>
    <xf numFmtId="0" fontId="0" fillId="0" borderId="52" xfId="0" applyNumberFormat="1" applyFont="1" applyFill="1" applyBorder="1" applyAlignment="1">
      <alignment horizontal="center" vertical="center" wrapText="1"/>
    </xf>
    <xf numFmtId="0" fontId="2" fillId="0" borderId="54" xfId="0" applyNumberFormat="1" applyFont="1" applyFill="1" applyBorder="1" applyAlignment="1">
      <alignment horizontal="center" vertical="center"/>
    </xf>
    <xf numFmtId="0" fontId="2" fillId="0" borderId="80" xfId="0" applyNumberFormat="1" applyFont="1" applyFill="1" applyBorder="1" applyAlignment="1">
      <alignment horizontal="center" vertical="center"/>
    </xf>
    <xf numFmtId="0" fontId="2" fillId="0" borderId="55" xfId="0" applyNumberFormat="1" applyFont="1" applyFill="1" applyBorder="1" applyAlignment="1">
      <alignment horizontal="center" vertical="center"/>
    </xf>
    <xf numFmtId="0" fontId="2" fillId="0" borderId="38" xfId="0" applyNumberFormat="1" applyFont="1" applyFill="1" applyBorder="1" applyAlignment="1">
      <alignment horizontal="center" vertical="center"/>
    </xf>
    <xf numFmtId="0" fontId="2" fillId="0" borderId="59" xfId="0" applyNumberFormat="1" applyFont="1" applyFill="1" applyBorder="1" applyAlignment="1">
      <alignment vertical="center"/>
    </xf>
    <xf numFmtId="0" fontId="2" fillId="0" borderId="27" xfId="0" applyNumberFormat="1" applyFont="1" applyFill="1" applyBorder="1" applyAlignment="1">
      <alignment vertical="center"/>
    </xf>
    <xf numFmtId="0" fontId="2" fillId="0" borderId="3" xfId="0" applyNumberFormat="1" applyFont="1" applyFill="1" applyBorder="1" applyAlignment="1">
      <alignment vertical="center"/>
    </xf>
    <xf numFmtId="0" fontId="2" fillId="0" borderId="46" xfId="0" applyNumberFormat="1" applyFont="1" applyFill="1" applyBorder="1" applyAlignment="1">
      <alignment horizontal="center"/>
    </xf>
    <xf numFmtId="0" fontId="2" fillId="0" borderId="0" xfId="0" applyNumberFormat="1" applyFont="1" applyFill="1" applyBorder="1" applyAlignment="1">
      <alignment horizontal="center"/>
    </xf>
    <xf numFmtId="0" fontId="2" fillId="0" borderId="11" xfId="0" applyNumberFormat="1" applyFont="1" applyFill="1" applyBorder="1" applyAlignment="1">
      <alignment horizontal="center"/>
    </xf>
    <xf numFmtId="0" fontId="2" fillId="0" borderId="67"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0" fontId="22" fillId="0" borderId="89" xfId="0" applyFont="1" applyBorder="1" applyAlignment="1">
      <alignment horizontal="center" vertical="center"/>
    </xf>
    <xf numFmtId="0" fontId="22" fillId="0" borderId="92" xfId="0" applyFont="1" applyBorder="1" applyAlignment="1">
      <alignment horizontal="center" vertical="center"/>
    </xf>
    <xf numFmtId="0" fontId="21" fillId="0" borderId="93" xfId="0" applyFont="1" applyBorder="1" applyAlignment="1">
      <alignment horizontal="right" vertical="center"/>
    </xf>
    <xf numFmtId="0" fontId="21" fillId="0" borderId="92" xfId="0" applyFont="1" applyBorder="1" applyAlignment="1">
      <alignment horizontal="right" vertical="center"/>
    </xf>
    <xf numFmtId="0" fontId="22" fillId="0" borderId="90" xfId="0" applyFont="1" applyBorder="1" applyAlignment="1">
      <alignment horizontal="center" vertical="center"/>
    </xf>
    <xf numFmtId="0" fontId="21" fillId="0" borderId="94" xfId="0" applyFont="1" applyBorder="1" applyAlignment="1">
      <alignment horizontal="center" vertical="center"/>
    </xf>
    <xf numFmtId="0" fontId="21" fillId="0" borderId="95" xfId="0" applyFont="1" applyBorder="1" applyAlignment="1">
      <alignment horizontal="center" vertical="center"/>
    </xf>
    <xf numFmtId="0" fontId="21" fillId="0" borderId="96" xfId="0" applyFont="1" applyBorder="1" applyAlignment="1">
      <alignment horizontal="center" vertical="center"/>
    </xf>
    <xf numFmtId="0" fontId="17" fillId="0" borderId="0" xfId="0" applyNumberFormat="1" applyFont="1" applyFill="1" applyBorder="1" applyAlignment="1">
      <alignment horizontal="center" vertical="center"/>
    </xf>
    <xf numFmtId="0" fontId="2" fillId="0" borderId="0" xfId="0" applyNumberFormat="1" applyFont="1" applyFill="1" applyBorder="1" applyAlignment="1">
      <alignment vertical="center" wrapText="1"/>
    </xf>
    <xf numFmtId="58" fontId="2" fillId="0" borderId="0" xfId="0" applyNumberFormat="1" applyFont="1" applyFill="1" applyBorder="1" applyAlignment="1">
      <alignment horizontal="distributed" vertical="center"/>
    </xf>
    <xf numFmtId="0" fontId="17" fillId="0" borderId="0" xfId="0" applyNumberFormat="1" applyFont="1" applyFill="1" applyBorder="1" applyAlignment="1">
      <alignment horizontal="right" vertical="center"/>
    </xf>
    <xf numFmtId="0" fontId="3" fillId="0" borderId="57" xfId="0" applyNumberFormat="1" applyFont="1" applyBorder="1" applyAlignment="1">
      <alignment horizontal="center" vertical="center"/>
    </xf>
    <xf numFmtId="0" fontId="3" fillId="0" borderId="65" xfId="0" applyNumberFormat="1" applyFont="1" applyBorder="1" applyAlignment="1">
      <alignment horizontal="center" vertical="center"/>
    </xf>
    <xf numFmtId="0" fontId="15" fillId="0" borderId="68" xfId="0" applyNumberFormat="1" applyFont="1" applyBorder="1" applyAlignment="1">
      <alignment horizontal="center" vertical="center"/>
    </xf>
    <xf numFmtId="0" fontId="15" fillId="0" borderId="69" xfId="0" applyNumberFormat="1" applyFont="1" applyBorder="1" applyAlignment="1">
      <alignment horizontal="center" vertical="center"/>
    </xf>
    <xf numFmtId="0" fontId="15" fillId="0" borderId="70" xfId="0" applyNumberFormat="1" applyFont="1" applyBorder="1" applyAlignment="1">
      <alignment horizontal="center" vertical="center"/>
    </xf>
    <xf numFmtId="0" fontId="13" fillId="0" borderId="59" xfId="0" applyNumberFormat="1" applyFont="1" applyBorder="1" applyAlignment="1">
      <alignment horizontal="center" vertical="center"/>
    </xf>
    <xf numFmtId="0" fontId="16" fillId="0" borderId="27" xfId="0" applyNumberFormat="1" applyFont="1" applyBorder="1" applyAlignment="1">
      <alignment horizontal="center" vertical="center"/>
    </xf>
    <xf numFmtId="0" fontId="16" fillId="0" borderId="78" xfId="0" applyNumberFormat="1" applyFont="1" applyBorder="1" applyAlignment="1">
      <alignment horizontal="center" vertical="center"/>
    </xf>
    <xf numFmtId="0" fontId="16" fillId="0" borderId="67" xfId="0" applyNumberFormat="1" applyFont="1" applyBorder="1" applyAlignment="1">
      <alignment horizontal="center" vertical="center"/>
    </xf>
    <xf numFmtId="0" fontId="16" fillId="0" borderId="7" xfId="0" applyNumberFormat="1" applyFont="1" applyBorder="1" applyAlignment="1">
      <alignment horizontal="center" vertical="center"/>
    </xf>
    <xf numFmtId="0" fontId="16" fillId="0" borderId="81" xfId="0" applyNumberFormat="1" applyFont="1" applyBorder="1" applyAlignment="1">
      <alignment horizontal="center" vertical="center"/>
    </xf>
    <xf numFmtId="0" fontId="13" fillId="0" borderId="46" xfId="0" applyNumberFormat="1" applyFont="1" applyBorder="1" applyAlignment="1">
      <alignment horizontal="center" vertical="center"/>
    </xf>
    <xf numFmtId="0" fontId="16" fillId="0" borderId="0" xfId="0" applyNumberFormat="1" applyFont="1" applyBorder="1" applyAlignment="1">
      <alignment horizontal="center" vertical="center"/>
    </xf>
    <xf numFmtId="0" fontId="16" fillId="0" borderId="39" xfId="0" applyNumberFormat="1" applyFont="1" applyBorder="1" applyAlignment="1">
      <alignment horizontal="center" vertical="center"/>
    </xf>
    <xf numFmtId="0" fontId="2" fillId="0" borderId="73" xfId="0" applyNumberFormat="1" applyFont="1" applyBorder="1" applyAlignment="1">
      <alignment horizontal="center" vertical="center"/>
    </xf>
    <xf numFmtId="0" fontId="2" fillId="0" borderId="74" xfId="0" applyNumberFormat="1" applyFont="1" applyBorder="1" applyAlignment="1">
      <alignment horizontal="center" vertical="center"/>
    </xf>
    <xf numFmtId="0" fontId="2" fillId="0" borderId="75" xfId="0" applyNumberFormat="1" applyFont="1" applyBorder="1" applyAlignment="1">
      <alignment horizontal="center" vertical="center"/>
    </xf>
    <xf numFmtId="0" fontId="3" fillId="0" borderId="0" xfId="0" applyNumberFormat="1" applyFont="1" applyBorder="1" applyAlignment="1">
      <alignment horizontal="left"/>
    </xf>
    <xf numFmtId="0" fontId="0" fillId="0" borderId="71" xfId="0" applyNumberFormat="1" applyFont="1" applyBorder="1" applyAlignment="1">
      <alignment horizontal="center" vertical="center"/>
    </xf>
    <xf numFmtId="0" fontId="2" fillId="0" borderId="0" xfId="0" applyNumberFormat="1" applyFont="1" applyBorder="1" applyAlignment="1">
      <alignment vertical="center" wrapText="1"/>
    </xf>
    <xf numFmtId="58" fontId="2" fillId="0" borderId="0" xfId="0" applyNumberFormat="1" applyFont="1" applyBorder="1" applyAlignment="1">
      <alignment horizontal="distributed" vertical="center"/>
    </xf>
    <xf numFmtId="0" fontId="0" fillId="0" borderId="80" xfId="0" applyNumberFormat="1" applyFont="1" applyBorder="1" applyAlignment="1">
      <alignment horizontal="center" vertical="center"/>
    </xf>
    <xf numFmtId="0" fontId="0" fillId="0" borderId="82" xfId="0" applyNumberFormat="1" applyFont="1" applyBorder="1" applyAlignment="1">
      <alignment horizontal="center" vertical="center"/>
    </xf>
    <xf numFmtId="0" fontId="0" fillId="0" borderId="60" xfId="0" applyNumberFormat="1" applyFont="1" applyBorder="1" applyAlignment="1">
      <alignment horizontal="center" vertical="center"/>
    </xf>
    <xf numFmtId="0" fontId="0" fillId="0" borderId="73" xfId="0" applyNumberFormat="1" applyFont="1" applyBorder="1" applyAlignment="1">
      <alignment horizontal="center" vertical="center"/>
    </xf>
    <xf numFmtId="0" fontId="0" fillId="0" borderId="74" xfId="0" applyNumberFormat="1" applyFont="1" applyBorder="1" applyAlignment="1">
      <alignment horizontal="center" vertical="center"/>
    </xf>
    <xf numFmtId="0" fontId="0" fillId="0" borderId="64" xfId="0" applyNumberFormat="1" applyFont="1" applyBorder="1" applyAlignment="1">
      <alignment horizontal="center" vertical="center"/>
    </xf>
    <xf numFmtId="0" fontId="0" fillId="0" borderId="28" xfId="0" applyNumberFormat="1" applyFont="1" applyBorder="1" applyAlignment="1">
      <alignment horizontal="center" vertical="center"/>
    </xf>
    <xf numFmtId="0" fontId="16" fillId="0" borderId="27" xfId="0" applyNumberFormat="1" applyFont="1" applyBorder="1" applyAlignment="1">
      <alignment vertical="center"/>
    </xf>
    <xf numFmtId="0" fontId="16" fillId="0" borderId="78" xfId="0" applyNumberFormat="1" applyFont="1" applyBorder="1" applyAlignment="1">
      <alignment vertical="center"/>
    </xf>
    <xf numFmtId="0" fontId="16" fillId="0" borderId="67" xfId="0" applyNumberFormat="1" applyFont="1" applyBorder="1" applyAlignment="1">
      <alignment vertical="center"/>
    </xf>
    <xf numFmtId="0" fontId="16" fillId="0" borderId="7" xfId="0" applyNumberFormat="1" applyFont="1" applyBorder="1" applyAlignment="1">
      <alignment vertical="center"/>
    </xf>
    <xf numFmtId="0" fontId="16" fillId="0" borderId="81" xfId="0" applyNumberFormat="1" applyFont="1" applyBorder="1" applyAlignment="1">
      <alignment vertical="center"/>
    </xf>
    <xf numFmtId="0" fontId="14" fillId="0" borderId="83" xfId="0" applyNumberFormat="1" applyFont="1" applyBorder="1" applyAlignment="1">
      <alignment horizontal="center" vertical="center"/>
    </xf>
    <xf numFmtId="0" fontId="14" fillId="0" borderId="9" xfId="0" applyNumberFormat="1" applyFont="1" applyBorder="1" applyAlignment="1">
      <alignment horizontal="center" vertical="center"/>
    </xf>
    <xf numFmtId="58" fontId="2" fillId="0" borderId="84" xfId="0" applyNumberFormat="1" applyFont="1" applyBorder="1" applyAlignment="1">
      <alignment horizontal="distributed" vertical="center"/>
    </xf>
    <xf numFmtId="58" fontId="2" fillId="0" borderId="85" xfId="0" applyNumberFormat="1" applyFont="1" applyBorder="1" applyAlignment="1">
      <alignment horizontal="distributed" vertical="center"/>
    </xf>
    <xf numFmtId="58" fontId="2" fillId="0" borderId="46" xfId="0" applyNumberFormat="1" applyFont="1" applyBorder="1" applyAlignment="1">
      <alignment horizontal="distributed" vertical="center"/>
    </xf>
    <xf numFmtId="0" fontId="13" fillId="0" borderId="24" xfId="0" applyNumberFormat="1" applyFont="1" applyBorder="1" applyAlignment="1">
      <alignment horizontal="center" vertical="center"/>
    </xf>
    <xf numFmtId="0" fontId="13" fillId="0" borderId="83" xfId="0" applyNumberFormat="1" applyFont="1" applyBorder="1" applyAlignment="1">
      <alignment horizontal="center" vertical="center"/>
    </xf>
    <xf numFmtId="0" fontId="13" fillId="0" borderId="64" xfId="0" applyNumberFormat="1" applyFont="1" applyBorder="1" applyAlignment="1">
      <alignment horizontal="center" vertical="center"/>
    </xf>
    <xf numFmtId="0" fontId="13" fillId="0" borderId="9" xfId="0" applyNumberFormat="1" applyFont="1" applyBorder="1" applyAlignment="1">
      <alignment horizontal="center" vertical="center"/>
    </xf>
    <xf numFmtId="58" fontId="2" fillId="0" borderId="65" xfId="0" applyNumberFormat="1" applyFont="1" applyBorder="1" applyAlignment="1">
      <alignment horizontal="distributed" vertical="center"/>
    </xf>
    <xf numFmtId="58" fontId="2" fillId="0" borderId="66" xfId="0" applyNumberFormat="1" applyFont="1" applyBorder="1" applyAlignment="1">
      <alignment horizontal="distributed" vertical="center"/>
    </xf>
    <xf numFmtId="58" fontId="2" fillId="0" borderId="67" xfId="0" applyNumberFormat="1" applyFont="1" applyBorder="1" applyAlignment="1">
      <alignment horizontal="distributed" vertical="center"/>
    </xf>
    <xf numFmtId="0" fontId="14" fillId="0" borderId="10" xfId="0" applyNumberFormat="1" applyFont="1" applyBorder="1" applyAlignment="1">
      <alignment horizontal="center" vertical="center"/>
    </xf>
    <xf numFmtId="58" fontId="2" fillId="0" borderId="57" xfId="0" applyNumberFormat="1" applyFont="1" applyBorder="1" applyAlignment="1">
      <alignment horizontal="distributed" vertical="center"/>
    </xf>
    <xf numFmtId="58" fontId="2" fillId="0" borderId="58" xfId="0" applyNumberFormat="1" applyFont="1" applyBorder="1" applyAlignment="1">
      <alignment horizontal="distributed" vertical="center"/>
    </xf>
    <xf numFmtId="58" fontId="2" fillId="0" borderId="59" xfId="0" applyNumberFormat="1" applyFont="1" applyBorder="1" applyAlignment="1">
      <alignment horizontal="distributed" vertical="center"/>
    </xf>
    <xf numFmtId="0" fontId="13" fillId="0" borderId="60" xfId="0" applyNumberFormat="1" applyFont="1" applyBorder="1" applyAlignment="1">
      <alignment horizontal="center" vertical="center"/>
    </xf>
    <xf numFmtId="0" fontId="13" fillId="0" borderId="10" xfId="0" applyNumberFormat="1" applyFont="1" applyBorder="1" applyAlignment="1">
      <alignment horizontal="center" vertical="center"/>
    </xf>
    <xf numFmtId="0" fontId="0" fillId="0" borderId="54" xfId="0" applyNumberFormat="1" applyFont="1" applyBorder="1" applyAlignment="1">
      <alignment horizontal="center" vertical="center"/>
    </xf>
    <xf numFmtId="0" fontId="0" fillId="0" borderId="55" xfId="0" applyNumberFormat="1" applyFont="1" applyBorder="1" applyAlignment="1">
      <alignment horizontal="center" vertical="center"/>
    </xf>
    <xf numFmtId="0" fontId="0" fillId="0" borderId="51" xfId="0" applyNumberFormat="1" applyFont="1" applyBorder="1" applyAlignment="1">
      <alignment horizontal="center" vertical="center" textRotation="255"/>
    </xf>
    <xf numFmtId="0" fontId="0" fillId="0" borderId="52" xfId="0" applyNumberFormat="1" applyFont="1" applyBorder="1" applyAlignment="1">
      <alignment horizontal="center" vertical="center" textRotation="255"/>
    </xf>
    <xf numFmtId="0" fontId="0" fillId="0" borderId="53" xfId="0" applyNumberFormat="1" applyFont="1" applyBorder="1" applyAlignment="1">
      <alignment horizontal="center" vertical="center" textRotation="255"/>
    </xf>
    <xf numFmtId="0" fontId="21" fillId="0" borderId="89" xfId="0" applyFont="1" applyBorder="1" applyAlignment="1">
      <alignment horizontal="center" vertical="center"/>
    </xf>
    <xf numFmtId="0" fontId="21" fillId="0" borderId="92" xfId="0" applyFont="1" applyBorder="1" applyAlignment="1">
      <alignment horizontal="center" vertical="center"/>
    </xf>
    <xf numFmtId="0" fontId="21" fillId="0" borderId="90" xfId="0" applyFont="1" applyBorder="1" applyAlignment="1">
      <alignment horizontal="center" vertical="center"/>
    </xf>
    <xf numFmtId="0" fontId="7" fillId="0" borderId="7" xfId="0" applyNumberFormat="1" applyFont="1" applyBorder="1" applyAlignment="1">
      <alignment horizontal="left" vertical="center"/>
    </xf>
    <xf numFmtId="0" fontId="3" fillId="0" borderId="7" xfId="0" applyNumberFormat="1" applyFont="1" applyBorder="1" applyAlignment="1">
      <alignment horizontal="left" vertical="center"/>
    </xf>
    <xf numFmtId="0" fontId="0" fillId="0" borderId="1" xfId="0" applyNumberFormat="1" applyFont="1" applyBorder="1" applyAlignment="1">
      <alignment horizontal="center" vertical="center"/>
    </xf>
    <xf numFmtId="0" fontId="0" fillId="0" borderId="76" xfId="0" applyNumberFormat="1" applyFont="1" applyBorder="1" applyAlignment="1">
      <alignment horizontal="center" vertical="center"/>
    </xf>
    <xf numFmtId="0" fontId="0" fillId="0" borderId="77"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0" fillId="0" borderId="53" xfId="0" applyNumberFormat="1" applyFont="1" applyBorder="1" applyAlignment="1">
      <alignment horizontal="center" vertical="center"/>
    </xf>
    <xf numFmtId="0" fontId="0" fillId="0" borderId="8" xfId="0" applyNumberFormat="1" applyFont="1" applyBorder="1" applyAlignment="1">
      <alignment horizontal="center" vertical="center"/>
    </xf>
    <xf numFmtId="58" fontId="2" fillId="0" borderId="65" xfId="0" applyNumberFormat="1" applyFont="1" applyBorder="1" applyAlignment="1">
      <alignment vertical="center"/>
    </xf>
    <xf numFmtId="58" fontId="2" fillId="0" borderId="66" xfId="0" applyNumberFormat="1" applyFont="1" applyBorder="1" applyAlignment="1">
      <alignment vertical="center"/>
    </xf>
    <xf numFmtId="58" fontId="2" fillId="0" borderId="67" xfId="0" applyNumberFormat="1" applyFont="1" applyBorder="1" applyAlignment="1">
      <alignment vertical="center"/>
    </xf>
    <xf numFmtId="0" fontId="3" fillId="0" borderId="51" xfId="0" applyNumberFormat="1" applyFont="1" applyBorder="1" applyAlignment="1">
      <alignment horizontal="center" vertical="center"/>
    </xf>
    <xf numFmtId="0" fontId="3" fillId="0" borderId="52" xfId="0" applyNumberFormat="1" applyFont="1" applyBorder="1" applyAlignment="1">
      <alignment horizontal="center" vertical="center"/>
    </xf>
    <xf numFmtId="0" fontId="3" fillId="0" borderId="53" xfId="0" applyNumberFormat="1" applyFont="1" applyBorder="1" applyAlignment="1">
      <alignment horizontal="center" vertical="center"/>
    </xf>
    <xf numFmtId="0" fontId="18" fillId="0" borderId="54" xfId="0" applyNumberFormat="1" applyFont="1" applyBorder="1" applyAlignment="1">
      <alignment horizontal="center" vertical="center"/>
    </xf>
    <xf numFmtId="0" fontId="18" fillId="0" borderId="55" xfId="0" applyNumberFormat="1" applyFont="1" applyBorder="1" applyAlignment="1">
      <alignment horizontal="center" vertical="center"/>
    </xf>
    <xf numFmtId="0" fontId="14" fillId="0" borderId="56" xfId="0" applyNumberFormat="1" applyFont="1" applyBorder="1" applyAlignment="1">
      <alignment horizontal="center" vertical="center"/>
    </xf>
    <xf numFmtId="58" fontId="2" fillId="0" borderId="57" xfId="0" applyNumberFormat="1" applyFont="1" applyBorder="1" applyAlignment="1">
      <alignment vertical="center"/>
    </xf>
    <xf numFmtId="58" fontId="2" fillId="0" borderId="58" xfId="0" applyNumberFormat="1" applyFont="1" applyBorder="1" applyAlignment="1">
      <alignment vertical="center"/>
    </xf>
    <xf numFmtId="58" fontId="2" fillId="0" borderId="59" xfId="0" applyNumberFormat="1" applyFont="1" applyBorder="1" applyAlignment="1">
      <alignment vertical="center"/>
    </xf>
    <xf numFmtId="0" fontId="14" fillId="0" borderId="60" xfId="0" applyNumberFormat="1" applyFont="1" applyBorder="1" applyAlignment="1">
      <alignment horizontal="center" vertical="center"/>
    </xf>
    <xf numFmtId="0" fontId="14" fillId="0" borderId="43" xfId="0" applyNumberFormat="1" applyFont="1" applyBorder="1" applyAlignment="1">
      <alignment horizontal="center" vertical="center"/>
    </xf>
    <xf numFmtId="58" fontId="2" fillId="0" borderId="61" xfId="0" applyNumberFormat="1" applyFont="1" applyBorder="1" applyAlignment="1">
      <alignment vertical="center"/>
    </xf>
    <xf numFmtId="58" fontId="2" fillId="0" borderId="62" xfId="0" applyNumberFormat="1" applyFont="1" applyBorder="1" applyAlignment="1">
      <alignment vertical="center"/>
    </xf>
    <xf numFmtId="58" fontId="2" fillId="0" borderId="25" xfId="0" applyNumberFormat="1" applyFont="1" applyBorder="1" applyAlignment="1">
      <alignment vertical="center"/>
    </xf>
    <xf numFmtId="0" fontId="18" fillId="0" borderId="8" xfId="0" applyNumberFormat="1" applyFont="1" applyBorder="1" applyAlignment="1">
      <alignment horizontal="center" vertical="center"/>
    </xf>
    <xf numFmtId="58" fontId="2" fillId="0" borderId="63" xfId="0" applyNumberFormat="1" applyFont="1" applyBorder="1" applyAlignment="1">
      <alignment vertical="center"/>
    </xf>
    <xf numFmtId="58" fontId="2" fillId="0" borderId="32" xfId="0" applyNumberFormat="1" applyFont="1" applyBorder="1" applyAlignment="1">
      <alignment vertical="center"/>
    </xf>
    <xf numFmtId="58" fontId="2" fillId="0" borderId="31" xfId="0" applyNumberFormat="1" applyFont="1" applyBorder="1" applyAlignment="1">
      <alignment vertical="center"/>
    </xf>
    <xf numFmtId="0" fontId="14" fillId="0" borderId="64" xfId="0" applyNumberFormat="1" applyFont="1" applyBorder="1" applyAlignment="1">
      <alignment horizontal="center" vertical="center"/>
    </xf>
    <xf numFmtId="0" fontId="2" fillId="0" borderId="59" xfId="0" applyNumberFormat="1" applyFont="1" applyBorder="1" applyAlignment="1">
      <alignment vertical="center"/>
    </xf>
    <xf numFmtId="0" fontId="2" fillId="0" borderId="27" xfId="0" applyNumberFormat="1" applyFont="1" applyBorder="1" applyAlignment="1">
      <alignment vertical="center"/>
    </xf>
    <xf numFmtId="0" fontId="2" fillId="0" borderId="3" xfId="0" applyNumberFormat="1" applyFont="1" applyBorder="1" applyAlignment="1">
      <alignment vertical="center"/>
    </xf>
    <xf numFmtId="0" fontId="2" fillId="0" borderId="46" xfId="0" applyNumberFormat="1" applyFont="1" applyBorder="1" applyAlignment="1">
      <alignment horizontal="center"/>
    </xf>
    <xf numFmtId="0" fontId="2" fillId="0" borderId="0" xfId="0" applyNumberFormat="1" applyFont="1" applyBorder="1" applyAlignment="1">
      <alignment horizontal="center"/>
    </xf>
    <xf numFmtId="0" fontId="2" fillId="0" borderId="11" xfId="0" applyNumberFormat="1" applyFont="1" applyBorder="1" applyAlignment="1">
      <alignment horizontal="center"/>
    </xf>
    <xf numFmtId="0" fontId="2" fillId="0" borderId="8" xfId="0" applyNumberFormat="1" applyFont="1" applyBorder="1" applyAlignment="1">
      <alignment horizontal="center" vertical="center"/>
    </xf>
    <xf numFmtId="0" fontId="2" fillId="0" borderId="67" xfId="0" applyNumberFormat="1" applyFont="1" applyBorder="1" applyAlignment="1">
      <alignment horizontal="right" vertical="center"/>
    </xf>
    <xf numFmtId="0" fontId="2" fillId="0" borderId="7" xfId="0" applyNumberFormat="1" applyFont="1" applyBorder="1" applyAlignment="1">
      <alignment horizontal="right" vertical="center"/>
    </xf>
    <xf numFmtId="0" fontId="2" fillId="0" borderId="6" xfId="0" applyNumberFormat="1" applyFont="1" applyBorder="1" applyAlignment="1">
      <alignment horizontal="right" vertical="center"/>
    </xf>
    <xf numFmtId="0" fontId="0" fillId="0" borderId="0" xfId="0" applyNumberFormat="1" applyFont="1" applyBorder="1" applyAlignment="1">
      <alignment horizontal="left" vertical="center"/>
    </xf>
    <xf numFmtId="0" fontId="14" fillId="0" borderId="54" xfId="0" applyNumberFormat="1" applyFont="1" applyBorder="1" applyAlignment="1">
      <alignment horizontal="center" vertical="center"/>
    </xf>
    <xf numFmtId="0" fontId="14" fillId="0" borderId="80" xfId="0" applyNumberFormat="1" applyFont="1" applyBorder="1" applyAlignment="1">
      <alignment horizontal="center" vertical="center"/>
    </xf>
    <xf numFmtId="0" fontId="14" fillId="0" borderId="55" xfId="0" applyNumberFormat="1" applyFont="1" applyBorder="1" applyAlignment="1">
      <alignment horizontal="center" vertical="center"/>
    </xf>
    <xf numFmtId="0" fontId="14" fillId="0" borderId="38" xfId="0" applyNumberFormat="1" applyFont="1" applyBorder="1" applyAlignment="1">
      <alignment horizontal="center" vertical="center"/>
    </xf>
    <xf numFmtId="0" fontId="0" fillId="0" borderId="86" xfId="0" applyNumberFormat="1" applyFont="1" applyFill="1" applyBorder="1" applyAlignment="1">
      <alignment horizontal="center" vertical="center" wrapText="1"/>
    </xf>
    <xf numFmtId="0" fontId="0" fillId="0" borderId="82" xfId="0" applyNumberFormat="1" applyFont="1" applyFill="1" applyBorder="1" applyAlignment="1">
      <alignment horizontal="center" vertical="center" wrapText="1"/>
    </xf>
    <xf numFmtId="0" fontId="0" fillId="0" borderId="60" xfId="0" applyNumberFormat="1" applyFont="1" applyFill="1" applyBorder="1" applyAlignment="1">
      <alignment horizontal="center" vertical="center" wrapText="1"/>
    </xf>
    <xf numFmtId="0" fontId="0" fillId="0" borderId="36" xfId="0" applyNumberFormat="1" applyFont="1" applyFill="1" applyBorder="1" applyAlignment="1">
      <alignment horizontal="center" vertical="center" wrapText="1"/>
    </xf>
    <xf numFmtId="0" fontId="14" fillId="0" borderId="8" xfId="0" applyNumberFormat="1" applyFont="1" applyBorder="1" applyAlignment="1">
      <alignment horizontal="center" vertical="center"/>
    </xf>
    <xf numFmtId="0" fontId="4" fillId="0" borderId="73" xfId="0" applyNumberFormat="1" applyFont="1" applyBorder="1" applyAlignment="1">
      <alignment horizontal="center" vertical="center" wrapText="1"/>
    </xf>
    <xf numFmtId="0" fontId="4" fillId="0" borderId="74" xfId="0" applyNumberFormat="1" applyFont="1" applyBorder="1" applyAlignment="1">
      <alignment horizontal="center" vertical="center"/>
    </xf>
    <xf numFmtId="0" fontId="4" fillId="0" borderId="75" xfId="0" applyNumberFormat="1" applyFont="1" applyBorder="1" applyAlignment="1">
      <alignment horizontal="center" vertical="center"/>
    </xf>
    <xf numFmtId="0" fontId="0" fillId="0" borderId="54" xfId="0" applyNumberFormat="1" applyFont="1" applyBorder="1" applyAlignment="1">
      <alignment horizontal="center" vertical="center" textRotation="255"/>
    </xf>
    <xf numFmtId="0" fontId="0" fillId="0" borderId="8" xfId="0" applyNumberFormat="1" applyFont="1" applyBorder="1" applyAlignment="1">
      <alignment horizontal="center" vertical="center" textRotation="255"/>
    </xf>
    <xf numFmtId="0" fontId="0" fillId="0" borderId="80" xfId="0" applyNumberFormat="1" applyFont="1" applyBorder="1" applyAlignment="1">
      <alignment horizontal="center" vertical="center" shrinkToFit="1"/>
    </xf>
    <xf numFmtId="0" fontId="0" fillId="0" borderId="82" xfId="0" applyNumberFormat="1" applyFont="1" applyBorder="1" applyAlignment="1">
      <alignment horizontal="center" vertical="center" shrinkToFit="1"/>
    </xf>
    <xf numFmtId="0" fontId="0" fillId="0" borderId="87" xfId="0" applyNumberFormat="1" applyFont="1" applyBorder="1" applyAlignment="1">
      <alignment horizontal="center" vertical="center" shrinkToFit="1"/>
    </xf>
    <xf numFmtId="58" fontId="2" fillId="0" borderId="26" xfId="0" applyNumberFormat="1" applyFont="1" applyBorder="1" applyAlignment="1">
      <alignment vertical="center"/>
    </xf>
    <xf numFmtId="58" fontId="2" fillId="0" borderId="27" xfId="0" applyNumberFormat="1" applyFont="1" applyBorder="1" applyAlignment="1">
      <alignment vertical="center"/>
    </xf>
    <xf numFmtId="58" fontId="2" fillId="0" borderId="79" xfId="0" applyNumberFormat="1" applyFont="1" applyBorder="1" applyAlignment="1">
      <alignment vertical="center"/>
    </xf>
    <xf numFmtId="58" fontId="2" fillId="0" borderId="36" xfId="0" applyNumberFormat="1" applyFont="1" applyBorder="1" applyAlignment="1">
      <alignment vertical="center"/>
    </xf>
    <xf numFmtId="0" fontId="17" fillId="0" borderId="0" xfId="0" applyNumberFormat="1" applyFont="1" applyBorder="1" applyAlignment="1">
      <alignment horizontal="right" vertical="center"/>
    </xf>
    <xf numFmtId="0" fontId="17" fillId="0" borderId="0" xfId="0" applyNumberFormat="1" applyFont="1" applyBorder="1" applyAlignment="1">
      <alignment horizontal="left" vertical="center"/>
    </xf>
    <xf numFmtId="0" fontId="18" fillId="0" borderId="46" xfId="0" applyNumberFormat="1" applyFont="1" applyBorder="1" applyAlignment="1">
      <alignment horizontal="center" vertical="center"/>
    </xf>
    <xf numFmtId="0" fontId="0" fillId="0" borderId="39" xfId="0" applyNumberFormat="1" applyFont="1" applyBorder="1" applyAlignment="1">
      <alignment horizontal="center" vertical="center"/>
    </xf>
    <xf numFmtId="0" fontId="0" fillId="0" borderId="67" xfId="0" applyNumberFormat="1" applyFont="1" applyBorder="1" applyAlignment="1">
      <alignment horizontal="center" vertical="center"/>
    </xf>
    <xf numFmtId="0" fontId="0" fillId="0" borderId="7" xfId="0" applyNumberFormat="1" applyFont="1" applyBorder="1" applyAlignment="1">
      <alignment horizontal="center" vertical="center"/>
    </xf>
    <xf numFmtId="0" fontId="0" fillId="0" borderId="81" xfId="0" applyNumberFormat="1" applyFont="1" applyBorder="1" applyAlignment="1">
      <alignment horizontal="center" vertical="center"/>
    </xf>
    <xf numFmtId="58" fontId="2" fillId="0" borderId="84" xfId="0" applyNumberFormat="1" applyFont="1" applyBorder="1" applyAlignment="1">
      <alignment horizontal="center" vertical="center"/>
    </xf>
    <xf numFmtId="58" fontId="2" fillId="0" borderId="85" xfId="0" applyNumberFormat="1" applyFont="1" applyBorder="1" applyAlignment="1">
      <alignment horizontal="center" vertical="center"/>
    </xf>
    <xf numFmtId="58" fontId="2" fillId="0" borderId="46" xfId="0" applyNumberFormat="1" applyFont="1" applyBorder="1" applyAlignment="1">
      <alignment horizontal="center" vertical="center"/>
    </xf>
    <xf numFmtId="0" fontId="14" fillId="0" borderId="24" xfId="0" applyNumberFormat="1" applyFont="1" applyBorder="1" applyAlignment="1">
      <alignment horizontal="center" vertical="center"/>
    </xf>
    <xf numFmtId="58" fontId="2" fillId="0" borderId="65" xfId="0" applyNumberFormat="1" applyFont="1" applyBorder="1" applyAlignment="1">
      <alignment horizontal="center" vertical="center"/>
    </xf>
    <xf numFmtId="58" fontId="2" fillId="0" borderId="66" xfId="0" applyNumberFormat="1" applyFont="1" applyBorder="1" applyAlignment="1">
      <alignment horizontal="center" vertical="center"/>
    </xf>
    <xf numFmtId="58" fontId="2" fillId="0" borderId="67" xfId="0" applyNumberFormat="1" applyFont="1" applyBorder="1" applyAlignment="1">
      <alignment horizontal="center" vertical="center"/>
    </xf>
    <xf numFmtId="0" fontId="18" fillId="0" borderId="59" xfId="0" applyNumberFormat="1" applyFont="1" applyBorder="1" applyAlignment="1">
      <alignment horizontal="center" vertical="center"/>
    </xf>
    <xf numFmtId="0" fontId="0" fillId="0" borderId="78" xfId="0" applyNumberFormat="1" applyFont="1" applyBorder="1" applyAlignment="1">
      <alignment horizontal="center" vertical="center"/>
    </xf>
    <xf numFmtId="58" fontId="2" fillId="0" borderId="57" xfId="0" applyNumberFormat="1" applyFont="1" applyBorder="1" applyAlignment="1">
      <alignment horizontal="center" vertical="center"/>
    </xf>
    <xf numFmtId="58" fontId="2" fillId="0" borderId="58" xfId="0" applyNumberFormat="1" applyFont="1" applyBorder="1" applyAlignment="1">
      <alignment horizontal="center" vertical="center"/>
    </xf>
    <xf numFmtId="58" fontId="2" fillId="0" borderId="59" xfId="0" applyNumberFormat="1" applyFont="1" applyBorder="1" applyAlignment="1">
      <alignment horizontal="center" vertical="center"/>
    </xf>
    <xf numFmtId="0" fontId="0" fillId="0" borderId="27" xfId="0" applyNumberFormat="1" applyFont="1" applyBorder="1" applyAlignment="1">
      <alignment vertical="center"/>
    </xf>
    <xf numFmtId="0" fontId="0" fillId="0" borderId="78" xfId="0" applyNumberFormat="1" applyFont="1" applyBorder="1" applyAlignment="1">
      <alignment vertical="center"/>
    </xf>
    <xf numFmtId="0" fontId="0" fillId="0" borderId="67" xfId="0" applyNumberFormat="1" applyFont="1" applyBorder="1" applyAlignment="1">
      <alignment vertical="center"/>
    </xf>
    <xf numFmtId="0" fontId="0" fillId="0" borderId="7" xfId="0" applyNumberFormat="1" applyFont="1" applyBorder="1" applyAlignment="1">
      <alignment vertical="center"/>
    </xf>
    <xf numFmtId="0" fontId="0" fillId="0" borderId="81" xfId="0" applyNumberFormat="1" applyFont="1" applyBorder="1" applyAlignment="1">
      <alignment vertical="center"/>
    </xf>
    <xf numFmtId="58" fontId="2" fillId="0" borderId="26" xfId="0" applyNumberFormat="1" applyFont="1" applyBorder="1" applyAlignment="1">
      <alignment horizontal="center" vertical="center"/>
    </xf>
    <xf numFmtId="58" fontId="2" fillId="0" borderId="27" xfId="0" applyNumberFormat="1"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409575</xdr:colOff>
      <xdr:row>15</xdr:row>
      <xdr:rowOff>285751</xdr:rowOff>
    </xdr:from>
    <xdr:to>
      <xdr:col>13</xdr:col>
      <xdr:colOff>561975</xdr:colOff>
      <xdr:row>17</xdr:row>
      <xdr:rowOff>114301</xdr:rowOff>
    </xdr:to>
    <xdr:sp macro="" textlink="">
      <xdr:nvSpPr>
        <xdr:cNvPr id="2" name="吹き出し: 四角形 1">
          <a:extLst>
            <a:ext uri="{FF2B5EF4-FFF2-40B4-BE49-F238E27FC236}">
              <a16:creationId xmlns:a16="http://schemas.microsoft.com/office/drawing/2014/main" id="{2D3644DF-8C1F-44CD-8C9E-3034FD7E5AD5}"/>
            </a:ext>
          </a:extLst>
        </xdr:cNvPr>
        <xdr:cNvSpPr/>
      </xdr:nvSpPr>
      <xdr:spPr>
        <a:xfrm>
          <a:off x="7543800" y="4048126"/>
          <a:ext cx="2209800" cy="400050"/>
        </a:xfrm>
        <a:prstGeom prst="wedgeRectCallout">
          <a:avLst>
            <a:gd name="adj1" fmla="val -64583"/>
            <a:gd name="adj2" fmla="val -19900"/>
          </a:avLst>
        </a:prstGeom>
        <a:solidFill>
          <a:schemeClr val="accent1">
            <a:alpha val="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428625</xdr:colOff>
      <xdr:row>61</xdr:row>
      <xdr:rowOff>95250</xdr:rowOff>
    </xdr:from>
    <xdr:to>
      <xdr:col>14</xdr:col>
      <xdr:colOff>381000</xdr:colOff>
      <xdr:row>63</xdr:row>
      <xdr:rowOff>66675</xdr:rowOff>
    </xdr:to>
    <xdr:sp macro="" textlink="">
      <xdr:nvSpPr>
        <xdr:cNvPr id="3" name="矢印: 左 2">
          <a:extLst>
            <a:ext uri="{FF2B5EF4-FFF2-40B4-BE49-F238E27FC236}">
              <a16:creationId xmlns:a16="http://schemas.microsoft.com/office/drawing/2014/main" id="{99380F22-4AE8-4C2D-A247-84DE08AD7C39}"/>
            </a:ext>
          </a:extLst>
        </xdr:cNvPr>
        <xdr:cNvSpPr/>
      </xdr:nvSpPr>
      <xdr:spPr>
        <a:xfrm>
          <a:off x="5086350" y="13001625"/>
          <a:ext cx="419100" cy="3143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269875</xdr:colOff>
      <xdr:row>45</xdr:row>
      <xdr:rowOff>158750</xdr:rowOff>
    </xdr:from>
    <xdr:to>
      <xdr:col>14</xdr:col>
      <xdr:colOff>730250</xdr:colOff>
      <xdr:row>47</xdr:row>
      <xdr:rowOff>130175</xdr:rowOff>
    </xdr:to>
    <xdr:sp macro="" textlink="">
      <xdr:nvSpPr>
        <xdr:cNvPr id="2" name="矢印: 左 1">
          <a:extLst>
            <a:ext uri="{FF2B5EF4-FFF2-40B4-BE49-F238E27FC236}">
              <a16:creationId xmlns:a16="http://schemas.microsoft.com/office/drawing/2014/main" id="{76D3B6C9-AF98-44AF-9BD8-EFA49625BE02}"/>
            </a:ext>
          </a:extLst>
        </xdr:cNvPr>
        <xdr:cNvSpPr/>
      </xdr:nvSpPr>
      <xdr:spPr>
        <a:xfrm>
          <a:off x="5381625" y="11826875"/>
          <a:ext cx="460375" cy="320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3"/>
  <sheetViews>
    <sheetView workbookViewId="0">
      <selection activeCell="A15" sqref="A15"/>
    </sheetView>
  </sheetViews>
  <sheetFormatPr defaultRowHeight="13.5" x14ac:dyDescent="0.15"/>
  <sheetData>
    <row r="1" spans="1:1" ht="25.5" customHeight="1" x14ac:dyDescent="0.15">
      <c r="A1" s="18" t="s">
        <v>0</v>
      </c>
    </row>
    <row r="3" spans="1:1" x14ac:dyDescent="0.15">
      <c r="A3" s="17" t="s">
        <v>79</v>
      </c>
    </row>
    <row r="4" spans="1:1" x14ac:dyDescent="0.15">
      <c r="A4" t="s">
        <v>1</v>
      </c>
    </row>
    <row r="5" spans="1:1" x14ac:dyDescent="0.15">
      <c r="A5" t="s">
        <v>2</v>
      </c>
    </row>
    <row r="6" spans="1:1" x14ac:dyDescent="0.15">
      <c r="A6" t="s">
        <v>3</v>
      </c>
    </row>
    <row r="8" spans="1:1" x14ac:dyDescent="0.15">
      <c r="A8" s="17" t="s">
        <v>4</v>
      </c>
    </row>
    <row r="9" spans="1:1" x14ac:dyDescent="0.15">
      <c r="A9" t="s">
        <v>5</v>
      </c>
    </row>
    <row r="10" spans="1:1" x14ac:dyDescent="0.15">
      <c r="A10" t="s">
        <v>6</v>
      </c>
    </row>
    <row r="11" spans="1:1" x14ac:dyDescent="0.15">
      <c r="A11" t="s">
        <v>7</v>
      </c>
    </row>
    <row r="12" spans="1:1" x14ac:dyDescent="0.15">
      <c r="A12" t="s">
        <v>8</v>
      </c>
    </row>
    <row r="14" spans="1:1" x14ac:dyDescent="0.15">
      <c r="A14" s="87" t="s">
        <v>80</v>
      </c>
    </row>
    <row r="15" spans="1:1" x14ac:dyDescent="0.15">
      <c r="A15" t="s">
        <v>9</v>
      </c>
    </row>
    <row r="17" spans="1:1" x14ac:dyDescent="0.15">
      <c r="A17" t="s">
        <v>10</v>
      </c>
    </row>
    <row r="19" spans="1:1" x14ac:dyDescent="0.15">
      <c r="A19" t="s">
        <v>11</v>
      </c>
    </row>
    <row r="20" spans="1:1" x14ac:dyDescent="0.15">
      <c r="A20" t="s">
        <v>12</v>
      </c>
    </row>
    <row r="22" spans="1:1" x14ac:dyDescent="0.15">
      <c r="A22" s="19" t="s">
        <v>13</v>
      </c>
    </row>
    <row r="23" spans="1:1" x14ac:dyDescent="0.15">
      <c r="A23" s="19" t="s">
        <v>14</v>
      </c>
    </row>
  </sheetData>
  <phoneticPr fontId="19"/>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M116"/>
  <sheetViews>
    <sheetView tabSelected="1" workbookViewId="0">
      <selection activeCell="F14" sqref="F14"/>
    </sheetView>
  </sheetViews>
  <sheetFormatPr defaultRowHeight="13.5" x14ac:dyDescent="0.15"/>
  <cols>
    <col min="1" max="3" width="5.625" style="10" customWidth="1"/>
    <col min="4" max="4" width="13" style="10" customWidth="1"/>
    <col min="5" max="5" width="5.625" style="10" customWidth="1"/>
    <col min="6" max="6" width="15.625" style="10" customWidth="1"/>
    <col min="7" max="7" width="5.625" style="10" customWidth="1"/>
    <col min="8" max="8" width="15.625" style="10" customWidth="1"/>
    <col min="9" max="9" width="5.625" style="10" customWidth="1"/>
    <col min="10" max="10" width="15.625" style="10" customWidth="1"/>
  </cols>
  <sheetData>
    <row r="1" spans="1:12" s="1" customFormat="1" x14ac:dyDescent="0.15">
      <c r="A1" s="10"/>
      <c r="B1" s="10"/>
      <c r="C1" s="10"/>
      <c r="D1" s="10"/>
      <c r="E1" s="10"/>
      <c r="F1" s="10"/>
      <c r="G1" s="10"/>
      <c r="H1" s="10"/>
      <c r="I1" s="10"/>
      <c r="J1" s="10"/>
    </row>
    <row r="2" spans="1:12" s="1" customFormat="1" x14ac:dyDescent="0.15">
      <c r="A2" s="10"/>
      <c r="B2" s="10"/>
      <c r="C2" s="10"/>
      <c r="D2" s="10"/>
      <c r="E2" s="10"/>
      <c r="F2" s="10"/>
      <c r="G2" s="10"/>
      <c r="H2" s="10"/>
      <c r="I2" s="10"/>
      <c r="J2" s="10"/>
    </row>
    <row r="3" spans="1:12" s="1" customFormat="1" ht="24.95" customHeight="1" x14ac:dyDescent="0.15">
      <c r="A3" s="70" t="s">
        <v>15</v>
      </c>
      <c r="B3" s="123"/>
      <c r="C3" s="124"/>
      <c r="D3" s="10"/>
      <c r="E3" s="10"/>
      <c r="F3" s="10"/>
      <c r="G3" s="10"/>
      <c r="H3" s="10"/>
      <c r="I3" s="10"/>
      <c r="J3" s="10"/>
    </row>
    <row r="4" spans="1:12" s="1" customFormat="1" x14ac:dyDescent="0.15">
      <c r="A4" s="130"/>
      <c r="B4" s="131"/>
      <c r="C4" s="131"/>
      <c r="D4" s="132"/>
      <c r="E4" s="69"/>
      <c r="F4" s="72" t="s">
        <v>16</v>
      </c>
      <c r="G4" s="128" t="s">
        <v>17</v>
      </c>
      <c r="H4" s="132"/>
      <c r="I4" s="132"/>
      <c r="J4" s="129"/>
      <c r="K4" s="128" t="s">
        <v>18</v>
      </c>
      <c r="L4" s="129"/>
    </row>
    <row r="5" spans="1:12" s="1" customFormat="1" ht="39.950000000000003" customHeight="1" x14ac:dyDescent="0.15">
      <c r="A5" s="71" t="s">
        <v>19</v>
      </c>
      <c r="B5" s="119"/>
      <c r="C5" s="133"/>
      <c r="D5" s="134"/>
      <c r="E5" s="75" t="s">
        <v>20</v>
      </c>
      <c r="F5" s="73"/>
      <c r="G5" s="119"/>
      <c r="H5" s="127"/>
      <c r="I5" s="127"/>
      <c r="J5" s="120"/>
      <c r="K5" s="119"/>
      <c r="L5" s="120"/>
    </row>
    <row r="6" spans="1:12" ht="24.95" customHeight="1" x14ac:dyDescent="0.15">
      <c r="A6" s="125" t="s">
        <v>21</v>
      </c>
      <c r="B6" s="126"/>
      <c r="C6" s="119"/>
      <c r="D6" s="127"/>
      <c r="E6" s="120"/>
    </row>
    <row r="7" spans="1:12" ht="24.95" customHeight="1" x14ac:dyDescent="0.15">
      <c r="A7" s="121" t="s">
        <v>22</v>
      </c>
      <c r="B7" s="122"/>
      <c r="C7" s="76" t="s">
        <v>23</v>
      </c>
      <c r="D7" s="77"/>
      <c r="E7" s="78" t="s">
        <v>24</v>
      </c>
      <c r="F7" s="73"/>
    </row>
    <row r="8" spans="1:12" ht="9.9499999999999993" customHeight="1" x14ac:dyDescent="0.15">
      <c r="A8" s="85" t="s">
        <v>25</v>
      </c>
      <c r="B8" s="81"/>
      <c r="C8" s="82"/>
      <c r="D8" s="53"/>
      <c r="E8" s="84"/>
      <c r="F8" s="83"/>
      <c r="G8" s="53"/>
      <c r="H8" s="53"/>
      <c r="I8" s="53"/>
      <c r="J8" s="53"/>
    </row>
    <row r="9" spans="1:12" ht="24.95" customHeight="1" x14ac:dyDescent="0.15">
      <c r="A9" s="54" t="s">
        <v>26</v>
      </c>
      <c r="B9" s="49" t="s">
        <v>27</v>
      </c>
      <c r="C9" s="74" t="s">
        <v>24</v>
      </c>
      <c r="D9" s="119"/>
      <c r="E9" s="120"/>
      <c r="F9" s="80"/>
      <c r="G9" s="38"/>
      <c r="H9" s="55"/>
      <c r="I9" s="38"/>
      <c r="J9" s="56"/>
    </row>
    <row r="10" spans="1:12" ht="9.9499999999999993" customHeight="1" x14ac:dyDescent="0.15">
      <c r="A10" s="85" t="s">
        <v>25</v>
      </c>
      <c r="B10" s="81"/>
      <c r="C10" s="82"/>
      <c r="D10" s="53"/>
      <c r="E10" s="53"/>
      <c r="F10" s="83"/>
      <c r="G10" s="138"/>
      <c r="H10" s="139"/>
      <c r="I10" s="139"/>
      <c r="J10" s="139"/>
    </row>
    <row r="11" spans="1:12" ht="24.95" customHeight="1" x14ac:dyDescent="0.15">
      <c r="A11" s="54" t="s">
        <v>28</v>
      </c>
      <c r="B11" s="49" t="s">
        <v>29</v>
      </c>
      <c r="C11" s="74" t="s">
        <v>24</v>
      </c>
      <c r="D11" s="142"/>
      <c r="E11" s="120"/>
      <c r="F11" s="80"/>
      <c r="G11" s="38"/>
      <c r="H11" s="55"/>
      <c r="I11" s="38"/>
      <c r="J11" s="56"/>
    </row>
    <row r="12" spans="1:12" ht="9.9499999999999993" customHeight="1" x14ac:dyDescent="0.15">
      <c r="A12" s="85" t="s">
        <v>25</v>
      </c>
      <c r="B12" s="81"/>
      <c r="C12" s="135"/>
      <c r="D12" s="136"/>
      <c r="E12" s="136"/>
      <c r="F12" s="137"/>
      <c r="G12" s="138"/>
      <c r="H12" s="139"/>
      <c r="I12" s="139"/>
      <c r="J12" s="139"/>
    </row>
    <row r="13" spans="1:12" ht="24.95" customHeight="1" x14ac:dyDescent="0.15">
      <c r="A13" s="54" t="s">
        <v>28</v>
      </c>
      <c r="B13" s="49" t="s">
        <v>30</v>
      </c>
      <c r="C13" s="74" t="s">
        <v>24</v>
      </c>
      <c r="D13" s="142"/>
      <c r="E13" s="120"/>
      <c r="F13" s="80"/>
      <c r="G13" s="90" t="s">
        <v>31</v>
      </c>
      <c r="H13" s="91"/>
      <c r="I13" s="92"/>
      <c r="J13" s="93"/>
      <c r="K13" s="94"/>
    </row>
    <row r="14" spans="1:12" ht="24.95" customHeight="1" x14ac:dyDescent="0.15">
      <c r="C14" s="1"/>
      <c r="D14" s="55"/>
      <c r="E14" s="1"/>
    </row>
    <row r="16" spans="1:12" ht="27.75" thickBot="1" x14ac:dyDescent="0.2">
      <c r="A16" s="20" t="s">
        <v>32</v>
      </c>
      <c r="B16" s="21" t="s">
        <v>33</v>
      </c>
      <c r="C16" s="21" t="s">
        <v>34</v>
      </c>
      <c r="D16" s="22" t="s">
        <v>24</v>
      </c>
      <c r="E16" s="22" t="s">
        <v>35</v>
      </c>
      <c r="F16" s="22" t="s">
        <v>36</v>
      </c>
      <c r="G16" s="143" t="s">
        <v>37</v>
      </c>
      <c r="H16" s="144"/>
      <c r="I16" s="21" t="s">
        <v>38</v>
      </c>
      <c r="J16" s="33" t="s">
        <v>39</v>
      </c>
      <c r="K16" s="79"/>
      <c r="L16" s="1"/>
    </row>
    <row r="17" spans="1:13" ht="17.25" customHeight="1" thickTop="1" x14ac:dyDescent="0.15">
      <c r="A17" s="23">
        <v>1</v>
      </c>
      <c r="B17" s="50" t="s">
        <v>81</v>
      </c>
      <c r="C17" s="50">
        <v>1</v>
      </c>
      <c r="D17" s="24" t="s">
        <v>96</v>
      </c>
      <c r="E17" s="50">
        <v>1</v>
      </c>
      <c r="F17" s="25">
        <v>37748</v>
      </c>
      <c r="G17" s="145">
        <v>43928</v>
      </c>
      <c r="H17" s="146"/>
      <c r="I17" s="50" t="s">
        <v>82</v>
      </c>
      <c r="J17" s="34">
        <v>123456789</v>
      </c>
      <c r="K17" s="95"/>
      <c r="L17" s="1" t="s">
        <v>83</v>
      </c>
      <c r="M17" s="1"/>
    </row>
    <row r="18" spans="1:13" ht="17.25" customHeight="1" x14ac:dyDescent="0.15">
      <c r="A18" s="26">
        <v>2</v>
      </c>
      <c r="B18" s="89"/>
      <c r="C18" s="51"/>
      <c r="D18" s="27"/>
      <c r="E18" s="51"/>
      <c r="F18" s="28"/>
      <c r="G18" s="140"/>
      <c r="H18" s="141"/>
      <c r="I18" s="51"/>
      <c r="J18" s="35"/>
      <c r="K18" s="79"/>
      <c r="L18" s="1"/>
      <c r="M18" s="1"/>
    </row>
    <row r="19" spans="1:13" ht="17.25" customHeight="1" x14ac:dyDescent="0.15">
      <c r="A19" s="26">
        <v>3</v>
      </c>
      <c r="B19" s="89"/>
      <c r="C19" s="51"/>
      <c r="D19" s="27"/>
      <c r="E19" s="51"/>
      <c r="F19" s="28"/>
      <c r="G19" s="140"/>
      <c r="H19" s="141"/>
      <c r="I19" s="51"/>
      <c r="J19" s="35"/>
      <c r="K19" s="79"/>
      <c r="L19" s="1"/>
    </row>
    <row r="20" spans="1:13" ht="17.25" customHeight="1" x14ac:dyDescent="0.15">
      <c r="A20" s="26">
        <v>4</v>
      </c>
      <c r="B20" s="89"/>
      <c r="C20" s="51"/>
      <c r="D20" s="27"/>
      <c r="E20" s="51"/>
      <c r="F20" s="28"/>
      <c r="G20" s="140"/>
      <c r="H20" s="141"/>
      <c r="I20" s="51"/>
      <c r="J20" s="35"/>
      <c r="K20" s="79"/>
      <c r="L20" s="1"/>
    </row>
    <row r="21" spans="1:13" ht="17.25" customHeight="1" x14ac:dyDescent="0.15">
      <c r="A21" s="26">
        <v>5</v>
      </c>
      <c r="B21" s="89"/>
      <c r="C21" s="51"/>
      <c r="D21" s="27"/>
      <c r="E21" s="51"/>
      <c r="F21" s="28"/>
      <c r="G21" s="140"/>
      <c r="H21" s="141"/>
      <c r="I21" s="51"/>
      <c r="J21" s="35"/>
      <c r="K21" s="79"/>
      <c r="L21" s="1"/>
    </row>
    <row r="22" spans="1:13" ht="17.25" customHeight="1" x14ac:dyDescent="0.15">
      <c r="A22" s="26">
        <v>6</v>
      </c>
      <c r="B22" s="89"/>
      <c r="C22" s="51"/>
      <c r="D22" s="27"/>
      <c r="E22" s="51"/>
      <c r="F22" s="28"/>
      <c r="G22" s="140"/>
      <c r="H22" s="141"/>
      <c r="I22" s="51"/>
      <c r="J22" s="35"/>
      <c r="K22" s="79"/>
      <c r="L22" s="1"/>
    </row>
    <row r="23" spans="1:13" ht="17.25" customHeight="1" x14ac:dyDescent="0.15">
      <c r="A23" s="26">
        <v>7</v>
      </c>
      <c r="B23" s="89"/>
      <c r="C23" s="51"/>
      <c r="D23" s="27"/>
      <c r="E23" s="51"/>
      <c r="F23" s="28"/>
      <c r="G23" s="140"/>
      <c r="H23" s="141"/>
      <c r="I23" s="51"/>
      <c r="J23" s="35"/>
      <c r="K23" s="79"/>
      <c r="L23" s="1"/>
    </row>
    <row r="24" spans="1:13" ht="17.25" customHeight="1" x14ac:dyDescent="0.15">
      <c r="A24" s="26">
        <v>8</v>
      </c>
      <c r="B24" s="89"/>
      <c r="C24" s="51"/>
      <c r="D24" s="27"/>
      <c r="E24" s="51"/>
      <c r="F24" s="28"/>
      <c r="G24" s="140"/>
      <c r="H24" s="141"/>
      <c r="I24" s="51"/>
      <c r="J24" s="35"/>
      <c r="K24" s="79"/>
      <c r="L24" s="1"/>
    </row>
    <row r="25" spans="1:13" ht="17.25" customHeight="1" x14ac:dyDescent="0.15">
      <c r="A25" s="26">
        <v>9</v>
      </c>
      <c r="B25" s="89"/>
      <c r="C25" s="51"/>
      <c r="D25" s="27"/>
      <c r="E25" s="51"/>
      <c r="F25" s="28"/>
      <c r="G25" s="140"/>
      <c r="H25" s="141"/>
      <c r="I25" s="51"/>
      <c r="J25" s="35"/>
      <c r="K25" s="79"/>
      <c r="L25" s="1"/>
    </row>
    <row r="26" spans="1:13" ht="17.25" customHeight="1" x14ac:dyDescent="0.15">
      <c r="A26" s="26">
        <v>10</v>
      </c>
      <c r="B26" s="89"/>
      <c r="C26" s="51"/>
      <c r="D26" s="27"/>
      <c r="E26" s="51"/>
      <c r="F26" s="28"/>
      <c r="G26" s="140"/>
      <c r="H26" s="141"/>
      <c r="I26" s="51"/>
      <c r="J26" s="35"/>
      <c r="K26" s="79"/>
      <c r="L26" s="1"/>
    </row>
    <row r="27" spans="1:13" ht="17.25" customHeight="1" x14ac:dyDescent="0.15">
      <c r="A27" s="26">
        <v>11</v>
      </c>
      <c r="B27" s="89"/>
      <c r="C27" s="51"/>
      <c r="D27" s="27"/>
      <c r="E27" s="51"/>
      <c r="F27" s="28"/>
      <c r="G27" s="140"/>
      <c r="H27" s="141"/>
      <c r="I27" s="51"/>
      <c r="J27" s="35"/>
      <c r="K27" s="79"/>
      <c r="L27" s="1"/>
    </row>
    <row r="28" spans="1:13" ht="17.25" customHeight="1" x14ac:dyDescent="0.15">
      <c r="A28" s="26">
        <v>12</v>
      </c>
      <c r="B28" s="89"/>
      <c r="C28" s="51"/>
      <c r="D28" s="27"/>
      <c r="E28" s="51"/>
      <c r="F28" s="28"/>
      <c r="G28" s="140"/>
      <c r="H28" s="141"/>
      <c r="I28" s="51"/>
      <c r="J28" s="35"/>
      <c r="K28" s="79"/>
      <c r="L28" s="1"/>
    </row>
    <row r="29" spans="1:13" ht="17.25" customHeight="1" x14ac:dyDescent="0.15">
      <c r="A29" s="26">
        <v>13</v>
      </c>
      <c r="B29" s="89"/>
      <c r="C29" s="51"/>
      <c r="D29" s="27"/>
      <c r="E29" s="51"/>
      <c r="F29" s="28"/>
      <c r="G29" s="140"/>
      <c r="H29" s="141"/>
      <c r="I29" s="51"/>
      <c r="J29" s="35"/>
      <c r="K29" s="79"/>
      <c r="L29" s="1"/>
    </row>
    <row r="30" spans="1:13" ht="17.25" customHeight="1" x14ac:dyDescent="0.15">
      <c r="A30" s="26">
        <v>14</v>
      </c>
      <c r="B30" s="89"/>
      <c r="C30" s="51"/>
      <c r="D30" s="27"/>
      <c r="E30" s="51"/>
      <c r="F30" s="28"/>
      <c r="G30" s="140"/>
      <c r="H30" s="141"/>
      <c r="I30" s="51"/>
      <c r="J30" s="35"/>
      <c r="K30" s="79"/>
      <c r="L30" s="1"/>
    </row>
    <row r="31" spans="1:13" ht="17.25" customHeight="1" x14ac:dyDescent="0.15">
      <c r="A31" s="26">
        <v>15</v>
      </c>
      <c r="B31" s="89"/>
      <c r="C31" s="51"/>
      <c r="D31" s="27"/>
      <c r="E31" s="51"/>
      <c r="F31" s="28"/>
      <c r="G31" s="140"/>
      <c r="H31" s="141"/>
      <c r="I31" s="51"/>
      <c r="J31" s="35"/>
      <c r="K31" s="79"/>
      <c r="L31" s="1"/>
    </row>
    <row r="32" spans="1:13" ht="17.25" customHeight="1" x14ac:dyDescent="0.15">
      <c r="A32" s="26">
        <v>16</v>
      </c>
      <c r="B32" s="89"/>
      <c r="C32" s="51"/>
      <c r="D32" s="27"/>
      <c r="E32" s="51"/>
      <c r="F32" s="28"/>
      <c r="G32" s="140"/>
      <c r="H32" s="141"/>
      <c r="I32" s="51"/>
      <c r="J32" s="35"/>
      <c r="K32" s="79"/>
      <c r="L32" s="1"/>
    </row>
    <row r="33" spans="1:12" ht="17.25" customHeight="1" x14ac:dyDescent="0.15">
      <c r="A33" s="26">
        <v>17</v>
      </c>
      <c r="B33" s="89"/>
      <c r="C33" s="51"/>
      <c r="D33" s="27"/>
      <c r="E33" s="51"/>
      <c r="F33" s="28"/>
      <c r="G33" s="140"/>
      <c r="H33" s="141"/>
      <c r="I33" s="51"/>
      <c r="J33" s="35"/>
      <c r="K33" s="79"/>
      <c r="L33" s="1"/>
    </row>
    <row r="34" spans="1:12" ht="17.25" customHeight="1" x14ac:dyDescent="0.15">
      <c r="A34" s="26">
        <v>18</v>
      </c>
      <c r="B34" s="89"/>
      <c r="C34" s="51"/>
      <c r="D34" s="27"/>
      <c r="E34" s="51"/>
      <c r="F34" s="28"/>
      <c r="G34" s="140"/>
      <c r="H34" s="141"/>
      <c r="I34" s="51"/>
      <c r="J34" s="35"/>
      <c r="K34" s="79"/>
      <c r="L34" s="1"/>
    </row>
    <row r="35" spans="1:12" ht="17.25" customHeight="1" x14ac:dyDescent="0.15">
      <c r="A35" s="26">
        <v>19</v>
      </c>
      <c r="B35" s="89"/>
      <c r="C35" s="51"/>
      <c r="D35" s="27"/>
      <c r="E35" s="51"/>
      <c r="F35" s="28"/>
      <c r="G35" s="140"/>
      <c r="H35" s="141"/>
      <c r="I35" s="51"/>
      <c r="J35" s="35"/>
      <c r="K35" s="79"/>
      <c r="L35" s="1"/>
    </row>
    <row r="36" spans="1:12" ht="17.25" customHeight="1" x14ac:dyDescent="0.15">
      <c r="A36" s="26">
        <v>20</v>
      </c>
      <c r="B36" s="89"/>
      <c r="C36" s="51"/>
      <c r="D36" s="27"/>
      <c r="E36" s="51"/>
      <c r="F36" s="28"/>
      <c r="G36" s="140"/>
      <c r="H36" s="141"/>
      <c r="I36" s="51"/>
      <c r="J36" s="35"/>
      <c r="K36" s="79"/>
      <c r="L36" s="1"/>
    </row>
    <row r="37" spans="1:12" ht="17.25" customHeight="1" x14ac:dyDescent="0.15">
      <c r="A37" s="26">
        <v>21</v>
      </c>
      <c r="B37" s="89"/>
      <c r="C37" s="51"/>
      <c r="D37" s="27"/>
      <c r="E37" s="51"/>
      <c r="F37" s="28"/>
      <c r="G37" s="140"/>
      <c r="H37" s="141"/>
      <c r="I37" s="51"/>
      <c r="J37" s="35"/>
      <c r="K37" s="79"/>
      <c r="L37" s="1"/>
    </row>
    <row r="38" spans="1:12" ht="17.25" customHeight="1" x14ac:dyDescent="0.15">
      <c r="A38" s="26">
        <v>22</v>
      </c>
      <c r="B38" s="89"/>
      <c r="C38" s="51"/>
      <c r="D38" s="27"/>
      <c r="E38" s="51"/>
      <c r="F38" s="28"/>
      <c r="G38" s="140"/>
      <c r="H38" s="141"/>
      <c r="I38" s="51"/>
      <c r="J38" s="35"/>
      <c r="K38" s="79"/>
      <c r="L38" s="1"/>
    </row>
    <row r="39" spans="1:12" ht="17.25" customHeight="1" x14ac:dyDescent="0.15">
      <c r="A39" s="26">
        <v>23</v>
      </c>
      <c r="B39" s="89"/>
      <c r="C39" s="51"/>
      <c r="D39" s="27"/>
      <c r="E39" s="51"/>
      <c r="F39" s="28"/>
      <c r="G39" s="140"/>
      <c r="H39" s="141"/>
      <c r="I39" s="51"/>
      <c r="J39" s="35"/>
      <c r="K39" s="79"/>
      <c r="L39" s="1"/>
    </row>
    <row r="40" spans="1:12" ht="17.25" customHeight="1" x14ac:dyDescent="0.15">
      <c r="A40" s="26">
        <v>24</v>
      </c>
      <c r="B40" s="89"/>
      <c r="C40" s="51"/>
      <c r="D40" s="27"/>
      <c r="E40" s="51"/>
      <c r="F40" s="28"/>
      <c r="G40" s="140"/>
      <c r="H40" s="141"/>
      <c r="I40" s="51"/>
      <c r="J40" s="35"/>
      <c r="K40" s="79"/>
      <c r="L40" s="1"/>
    </row>
    <row r="41" spans="1:12" ht="17.25" customHeight="1" x14ac:dyDescent="0.15">
      <c r="A41" s="26">
        <v>25</v>
      </c>
      <c r="B41" s="89"/>
      <c r="C41" s="51"/>
      <c r="D41" s="27"/>
      <c r="E41" s="51"/>
      <c r="F41" s="28"/>
      <c r="G41" s="140"/>
      <c r="H41" s="141"/>
      <c r="I41" s="51"/>
      <c r="J41" s="35"/>
      <c r="K41" s="79"/>
      <c r="L41" s="1"/>
    </row>
    <row r="42" spans="1:12" ht="17.25" customHeight="1" x14ac:dyDescent="0.15">
      <c r="A42" s="26">
        <v>26</v>
      </c>
      <c r="B42" s="89"/>
      <c r="C42" s="51"/>
      <c r="D42" s="27"/>
      <c r="E42" s="51"/>
      <c r="F42" s="28"/>
      <c r="G42" s="140"/>
      <c r="H42" s="141"/>
      <c r="I42" s="51"/>
      <c r="J42" s="35"/>
      <c r="K42" s="79"/>
      <c r="L42" s="1"/>
    </row>
    <row r="43" spans="1:12" ht="17.25" customHeight="1" x14ac:dyDescent="0.15">
      <c r="A43" s="26">
        <v>27</v>
      </c>
      <c r="B43" s="89"/>
      <c r="C43" s="51"/>
      <c r="D43" s="27"/>
      <c r="E43" s="51"/>
      <c r="F43" s="28"/>
      <c r="G43" s="140"/>
      <c r="H43" s="141"/>
      <c r="I43" s="51"/>
      <c r="J43" s="35"/>
      <c r="K43" s="79"/>
      <c r="L43" s="1"/>
    </row>
    <row r="44" spans="1:12" ht="17.25" customHeight="1" x14ac:dyDescent="0.15">
      <c r="A44" s="26">
        <v>28</v>
      </c>
      <c r="B44" s="89"/>
      <c r="C44" s="51"/>
      <c r="D44" s="27"/>
      <c r="E44" s="51"/>
      <c r="F44" s="28"/>
      <c r="G44" s="140"/>
      <c r="H44" s="141"/>
      <c r="I44" s="51"/>
      <c r="J44" s="35"/>
      <c r="K44" s="79"/>
      <c r="L44" s="1"/>
    </row>
    <row r="45" spans="1:12" ht="17.25" customHeight="1" x14ac:dyDescent="0.15">
      <c r="A45" s="26">
        <v>29</v>
      </c>
      <c r="B45" s="89"/>
      <c r="C45" s="51"/>
      <c r="D45" s="27"/>
      <c r="E45" s="51"/>
      <c r="F45" s="28"/>
      <c r="G45" s="140"/>
      <c r="H45" s="141"/>
      <c r="I45" s="51"/>
      <c r="J45" s="35"/>
      <c r="K45" s="79"/>
      <c r="L45" s="1"/>
    </row>
    <row r="46" spans="1:12" ht="17.25" customHeight="1" x14ac:dyDescent="0.15">
      <c r="A46" s="26">
        <v>30</v>
      </c>
      <c r="B46" s="89"/>
      <c r="C46" s="51"/>
      <c r="D46" s="27"/>
      <c r="E46" s="51"/>
      <c r="F46" s="28"/>
      <c r="G46" s="140"/>
      <c r="H46" s="141"/>
      <c r="I46" s="51"/>
      <c r="J46" s="35"/>
      <c r="K46" s="79"/>
      <c r="L46" s="1"/>
    </row>
    <row r="47" spans="1:12" ht="17.25" customHeight="1" x14ac:dyDescent="0.15">
      <c r="A47" s="26">
        <v>31</v>
      </c>
      <c r="B47" s="89"/>
      <c r="C47" s="51"/>
      <c r="D47" s="27"/>
      <c r="E47" s="51"/>
      <c r="F47" s="28"/>
      <c r="G47" s="140"/>
      <c r="H47" s="141"/>
      <c r="I47" s="51"/>
      <c r="J47" s="35"/>
      <c r="K47" s="79"/>
      <c r="L47" s="1"/>
    </row>
    <row r="48" spans="1:12" ht="17.25" customHeight="1" x14ac:dyDescent="0.15">
      <c r="A48" s="26">
        <v>32</v>
      </c>
      <c r="B48" s="89"/>
      <c r="C48" s="51"/>
      <c r="D48" s="27"/>
      <c r="E48" s="51"/>
      <c r="F48" s="28"/>
      <c r="G48" s="140"/>
      <c r="H48" s="141"/>
      <c r="I48" s="51"/>
      <c r="J48" s="35"/>
      <c r="K48" s="79"/>
      <c r="L48" s="1"/>
    </row>
    <row r="49" spans="1:12" ht="17.25" customHeight="1" x14ac:dyDescent="0.15">
      <c r="A49" s="26">
        <v>33</v>
      </c>
      <c r="B49" s="89"/>
      <c r="C49" s="51"/>
      <c r="D49" s="27"/>
      <c r="E49" s="51"/>
      <c r="F49" s="28"/>
      <c r="G49" s="140"/>
      <c r="H49" s="141"/>
      <c r="I49" s="51"/>
      <c r="J49" s="35"/>
      <c r="K49" s="79"/>
      <c r="L49" s="1"/>
    </row>
    <row r="50" spans="1:12" ht="17.25" customHeight="1" x14ac:dyDescent="0.15">
      <c r="A50" s="26">
        <v>34</v>
      </c>
      <c r="B50" s="89"/>
      <c r="C50" s="51"/>
      <c r="D50" s="27"/>
      <c r="E50" s="51"/>
      <c r="F50" s="28"/>
      <c r="G50" s="140"/>
      <c r="H50" s="141"/>
      <c r="I50" s="51"/>
      <c r="J50" s="35"/>
      <c r="K50" s="79"/>
      <c r="L50" s="1"/>
    </row>
    <row r="51" spans="1:12" ht="17.25" customHeight="1" x14ac:dyDescent="0.15">
      <c r="A51" s="26">
        <v>35</v>
      </c>
      <c r="B51" s="89"/>
      <c r="C51" s="51"/>
      <c r="D51" s="29"/>
      <c r="E51" s="51"/>
      <c r="F51" s="29"/>
      <c r="G51" s="140"/>
      <c r="H51" s="141"/>
      <c r="I51" s="51"/>
      <c r="J51" s="36"/>
      <c r="K51" s="79"/>
      <c r="L51" s="1"/>
    </row>
    <row r="52" spans="1:12" ht="17.25" customHeight="1" x14ac:dyDescent="0.15">
      <c r="A52" s="26">
        <v>36</v>
      </c>
      <c r="B52" s="89"/>
      <c r="C52" s="51"/>
      <c r="D52" s="29"/>
      <c r="E52" s="51"/>
      <c r="F52" s="29"/>
      <c r="G52" s="140"/>
      <c r="H52" s="141"/>
      <c r="I52" s="51"/>
      <c r="J52" s="36"/>
      <c r="K52" s="79"/>
      <c r="L52" s="1"/>
    </row>
    <row r="53" spans="1:12" ht="17.25" customHeight="1" x14ac:dyDescent="0.15">
      <c r="A53" s="26">
        <v>37</v>
      </c>
      <c r="B53" s="89"/>
      <c r="C53" s="51"/>
      <c r="D53" s="29"/>
      <c r="E53" s="51"/>
      <c r="F53" s="29"/>
      <c r="G53" s="140"/>
      <c r="H53" s="141"/>
      <c r="I53" s="51"/>
      <c r="J53" s="36"/>
      <c r="K53" s="79"/>
      <c r="L53" s="1"/>
    </row>
    <row r="54" spans="1:12" ht="17.25" customHeight="1" x14ac:dyDescent="0.15">
      <c r="A54" s="26">
        <v>38</v>
      </c>
      <c r="B54" s="89"/>
      <c r="C54" s="51"/>
      <c r="D54" s="29"/>
      <c r="E54" s="51"/>
      <c r="F54" s="29"/>
      <c r="G54" s="140"/>
      <c r="H54" s="141"/>
      <c r="I54" s="51"/>
      <c r="J54" s="36"/>
      <c r="K54" s="79"/>
      <c r="L54" s="1"/>
    </row>
    <row r="55" spans="1:12" ht="17.25" customHeight="1" x14ac:dyDescent="0.15">
      <c r="A55" s="26">
        <v>39</v>
      </c>
      <c r="B55" s="89"/>
      <c r="C55" s="51"/>
      <c r="D55" s="29"/>
      <c r="E55" s="51"/>
      <c r="F55" s="29"/>
      <c r="G55" s="140"/>
      <c r="H55" s="141"/>
      <c r="I55" s="51"/>
      <c r="J55" s="36"/>
      <c r="K55" s="79"/>
      <c r="L55" s="1"/>
    </row>
    <row r="56" spans="1:12" ht="17.25" customHeight="1" x14ac:dyDescent="0.15">
      <c r="A56" s="26">
        <v>40</v>
      </c>
      <c r="B56" s="89"/>
      <c r="C56" s="51"/>
      <c r="D56" s="29"/>
      <c r="E56" s="51"/>
      <c r="F56" s="29"/>
      <c r="G56" s="140"/>
      <c r="H56" s="141"/>
      <c r="I56" s="51"/>
      <c r="J56" s="36"/>
      <c r="K56" s="79"/>
      <c r="L56" s="1"/>
    </row>
    <row r="57" spans="1:12" ht="17.25" customHeight="1" x14ac:dyDescent="0.15">
      <c r="A57" s="26">
        <v>41</v>
      </c>
      <c r="B57" s="89"/>
      <c r="C57" s="51"/>
      <c r="D57" s="29"/>
      <c r="E57" s="51"/>
      <c r="F57" s="29"/>
      <c r="G57" s="140"/>
      <c r="H57" s="141"/>
      <c r="I57" s="51"/>
      <c r="J57" s="36"/>
      <c r="K57" s="79"/>
      <c r="L57" s="1"/>
    </row>
    <row r="58" spans="1:12" ht="17.25" customHeight="1" x14ac:dyDescent="0.15">
      <c r="A58" s="26">
        <v>42</v>
      </c>
      <c r="B58" s="89"/>
      <c r="C58" s="51"/>
      <c r="D58" s="29"/>
      <c r="E58" s="51"/>
      <c r="F58" s="29"/>
      <c r="G58" s="140"/>
      <c r="H58" s="141"/>
      <c r="I58" s="51"/>
      <c r="J58" s="36"/>
      <c r="K58" s="79"/>
      <c r="L58" s="1"/>
    </row>
    <row r="59" spans="1:12" ht="17.25" customHeight="1" x14ac:dyDescent="0.15">
      <c r="A59" s="26">
        <v>43</v>
      </c>
      <c r="B59" s="89"/>
      <c r="C59" s="51"/>
      <c r="D59" s="29"/>
      <c r="E59" s="51"/>
      <c r="F59" s="29"/>
      <c r="G59" s="140"/>
      <c r="H59" s="141"/>
      <c r="I59" s="51"/>
      <c r="J59" s="36"/>
      <c r="K59" s="79"/>
      <c r="L59" s="1"/>
    </row>
    <row r="60" spans="1:12" ht="17.25" customHeight="1" x14ac:dyDescent="0.15">
      <c r="A60" s="26">
        <v>44</v>
      </c>
      <c r="B60" s="89"/>
      <c r="C60" s="51"/>
      <c r="D60" s="29"/>
      <c r="E60" s="51"/>
      <c r="F60" s="29"/>
      <c r="G60" s="140"/>
      <c r="H60" s="141"/>
      <c r="I60" s="51"/>
      <c r="J60" s="36"/>
      <c r="K60" s="79"/>
      <c r="L60" s="1"/>
    </row>
    <row r="61" spans="1:12" ht="17.25" customHeight="1" x14ac:dyDescent="0.15">
      <c r="A61" s="26">
        <v>45</v>
      </c>
      <c r="B61" s="89"/>
      <c r="C61" s="51"/>
      <c r="D61" s="29"/>
      <c r="E61" s="51"/>
      <c r="F61" s="29"/>
      <c r="G61" s="140"/>
      <c r="H61" s="141"/>
      <c r="I61" s="51"/>
      <c r="J61" s="36"/>
      <c r="K61" s="79"/>
      <c r="L61" s="1"/>
    </row>
    <row r="62" spans="1:12" ht="17.25" customHeight="1" x14ac:dyDescent="0.15">
      <c r="A62" s="26">
        <v>46</v>
      </c>
      <c r="B62" s="89"/>
      <c r="C62" s="51"/>
      <c r="D62" s="29"/>
      <c r="E62" s="51"/>
      <c r="F62" s="29"/>
      <c r="G62" s="140"/>
      <c r="H62" s="141"/>
      <c r="I62" s="51"/>
      <c r="J62" s="36"/>
      <c r="K62" s="79"/>
      <c r="L62" s="1"/>
    </row>
    <row r="63" spans="1:12" ht="17.25" customHeight="1" x14ac:dyDescent="0.15">
      <c r="A63" s="26">
        <v>47</v>
      </c>
      <c r="B63" s="89"/>
      <c r="C63" s="51"/>
      <c r="D63" s="29"/>
      <c r="E63" s="51"/>
      <c r="F63" s="29"/>
      <c r="G63" s="140"/>
      <c r="H63" s="141"/>
      <c r="I63" s="51"/>
      <c r="J63" s="36"/>
      <c r="K63" s="79"/>
      <c r="L63" s="1"/>
    </row>
    <row r="64" spans="1:12" ht="17.25" customHeight="1" x14ac:dyDescent="0.15">
      <c r="A64" s="26">
        <v>48</v>
      </c>
      <c r="B64" s="89"/>
      <c r="C64" s="51"/>
      <c r="D64" s="29"/>
      <c r="E64" s="51"/>
      <c r="F64" s="29"/>
      <c r="G64" s="140"/>
      <c r="H64" s="141"/>
      <c r="I64" s="51"/>
      <c r="J64" s="36"/>
      <c r="K64" s="79"/>
      <c r="L64" s="1"/>
    </row>
    <row r="65" spans="1:12" ht="17.25" customHeight="1" x14ac:dyDescent="0.15">
      <c r="A65" s="26">
        <v>49</v>
      </c>
      <c r="B65" s="89"/>
      <c r="C65" s="51"/>
      <c r="D65" s="29"/>
      <c r="E65" s="51"/>
      <c r="F65" s="29"/>
      <c r="G65" s="140"/>
      <c r="H65" s="141"/>
      <c r="I65" s="51"/>
      <c r="J65" s="36"/>
      <c r="K65" s="79"/>
      <c r="L65" s="1"/>
    </row>
    <row r="66" spans="1:12" ht="17.25" customHeight="1" x14ac:dyDescent="0.15">
      <c r="A66" s="26">
        <v>50</v>
      </c>
      <c r="B66" s="89"/>
      <c r="C66" s="51"/>
      <c r="D66" s="29"/>
      <c r="E66" s="51"/>
      <c r="F66" s="29"/>
      <c r="G66" s="140"/>
      <c r="H66" s="141"/>
      <c r="I66" s="51"/>
      <c r="J66" s="36"/>
      <c r="K66" s="79"/>
      <c r="L66" s="1"/>
    </row>
    <row r="67" spans="1:12" ht="17.25" customHeight="1" x14ac:dyDescent="0.15">
      <c r="A67" s="26">
        <v>51</v>
      </c>
      <c r="B67" s="89"/>
      <c r="C67" s="51"/>
      <c r="D67" s="29"/>
      <c r="E67" s="51"/>
      <c r="F67" s="29"/>
      <c r="G67" s="140"/>
      <c r="H67" s="141"/>
      <c r="I67" s="51"/>
      <c r="J67" s="36"/>
      <c r="K67" s="79"/>
      <c r="L67" s="1"/>
    </row>
    <row r="68" spans="1:12" ht="17.25" customHeight="1" x14ac:dyDescent="0.15">
      <c r="A68" s="26">
        <v>52</v>
      </c>
      <c r="B68" s="89"/>
      <c r="C68" s="51"/>
      <c r="D68" s="29"/>
      <c r="E68" s="51"/>
      <c r="F68" s="29"/>
      <c r="G68" s="140"/>
      <c r="H68" s="141"/>
      <c r="I68" s="51"/>
      <c r="J68" s="36"/>
      <c r="K68" s="79"/>
      <c r="L68" s="1"/>
    </row>
    <row r="69" spans="1:12" ht="17.25" customHeight="1" x14ac:dyDescent="0.15">
      <c r="A69" s="26">
        <v>53</v>
      </c>
      <c r="B69" s="89"/>
      <c r="C69" s="51"/>
      <c r="D69" s="29"/>
      <c r="E69" s="51"/>
      <c r="F69" s="29"/>
      <c r="G69" s="140"/>
      <c r="H69" s="141"/>
      <c r="I69" s="51"/>
      <c r="J69" s="36"/>
      <c r="K69" s="79"/>
      <c r="L69" s="1"/>
    </row>
    <row r="70" spans="1:12" ht="17.25" customHeight="1" x14ac:dyDescent="0.15">
      <c r="A70" s="26">
        <v>54</v>
      </c>
      <c r="B70" s="89"/>
      <c r="C70" s="51"/>
      <c r="D70" s="29"/>
      <c r="E70" s="51"/>
      <c r="F70" s="29"/>
      <c r="G70" s="140"/>
      <c r="H70" s="141"/>
      <c r="I70" s="51"/>
      <c r="J70" s="36"/>
      <c r="K70" s="79"/>
      <c r="L70" s="1"/>
    </row>
    <row r="71" spans="1:12" ht="17.25" customHeight="1" x14ac:dyDescent="0.15">
      <c r="A71" s="26">
        <v>55</v>
      </c>
      <c r="B71" s="89"/>
      <c r="C71" s="51"/>
      <c r="D71" s="29"/>
      <c r="E71" s="51"/>
      <c r="F71" s="29"/>
      <c r="G71" s="140"/>
      <c r="H71" s="141"/>
      <c r="I71" s="51"/>
      <c r="J71" s="36"/>
      <c r="K71" s="79"/>
      <c r="L71" s="1"/>
    </row>
    <row r="72" spans="1:12" ht="17.25" customHeight="1" x14ac:dyDescent="0.15">
      <c r="A72" s="26">
        <v>56</v>
      </c>
      <c r="B72" s="89"/>
      <c r="C72" s="51"/>
      <c r="D72" s="29"/>
      <c r="E72" s="51"/>
      <c r="F72" s="29"/>
      <c r="G72" s="140"/>
      <c r="H72" s="141"/>
      <c r="I72" s="51"/>
      <c r="J72" s="36"/>
      <c r="K72" s="79"/>
      <c r="L72" s="1"/>
    </row>
    <row r="73" spans="1:12" ht="17.25" customHeight="1" x14ac:dyDescent="0.15">
      <c r="A73" s="26">
        <v>57</v>
      </c>
      <c r="B73" s="89"/>
      <c r="C73" s="51"/>
      <c r="D73" s="29"/>
      <c r="E73" s="51"/>
      <c r="F73" s="29"/>
      <c r="G73" s="140"/>
      <c r="H73" s="141"/>
      <c r="I73" s="51"/>
      <c r="J73" s="36"/>
      <c r="K73" s="79"/>
      <c r="L73" s="1"/>
    </row>
    <row r="74" spans="1:12" ht="17.25" customHeight="1" x14ac:dyDescent="0.15">
      <c r="A74" s="26">
        <v>58</v>
      </c>
      <c r="B74" s="89"/>
      <c r="C74" s="51"/>
      <c r="D74" s="29"/>
      <c r="E74" s="51"/>
      <c r="F74" s="29"/>
      <c r="G74" s="140"/>
      <c r="H74" s="141"/>
      <c r="I74" s="51"/>
      <c r="J74" s="36"/>
      <c r="K74" s="79"/>
      <c r="L74" s="1"/>
    </row>
    <row r="75" spans="1:12" ht="17.25" customHeight="1" x14ac:dyDescent="0.15">
      <c r="A75" s="26">
        <v>59</v>
      </c>
      <c r="B75" s="89"/>
      <c r="C75" s="51"/>
      <c r="D75" s="29"/>
      <c r="E75" s="51"/>
      <c r="F75" s="29"/>
      <c r="G75" s="140"/>
      <c r="H75" s="141"/>
      <c r="I75" s="51"/>
      <c r="J75" s="36"/>
      <c r="K75" s="79"/>
      <c r="L75" s="1"/>
    </row>
    <row r="76" spans="1:12" ht="17.25" customHeight="1" x14ac:dyDescent="0.15">
      <c r="A76" s="26">
        <v>60</v>
      </c>
      <c r="B76" s="89"/>
      <c r="C76" s="51"/>
      <c r="D76" s="29"/>
      <c r="E76" s="51"/>
      <c r="F76" s="29"/>
      <c r="G76" s="140"/>
      <c r="H76" s="141"/>
      <c r="I76" s="51"/>
      <c r="J76" s="36"/>
      <c r="K76" s="79"/>
      <c r="L76" s="1"/>
    </row>
    <row r="77" spans="1:12" ht="17.25" customHeight="1" x14ac:dyDescent="0.15">
      <c r="A77" s="26">
        <v>61</v>
      </c>
      <c r="B77" s="89"/>
      <c r="C77" s="51"/>
      <c r="D77" s="29"/>
      <c r="E77" s="51"/>
      <c r="F77" s="29"/>
      <c r="G77" s="140"/>
      <c r="H77" s="141"/>
      <c r="I77" s="51"/>
      <c r="J77" s="36"/>
      <c r="K77" s="79"/>
      <c r="L77" s="1"/>
    </row>
    <row r="78" spans="1:12" ht="17.25" customHeight="1" x14ac:dyDescent="0.15">
      <c r="A78" s="26">
        <v>62</v>
      </c>
      <c r="B78" s="89"/>
      <c r="C78" s="51"/>
      <c r="D78" s="29"/>
      <c r="E78" s="51"/>
      <c r="F78" s="29"/>
      <c r="G78" s="140"/>
      <c r="H78" s="141"/>
      <c r="I78" s="51"/>
      <c r="J78" s="36"/>
      <c r="K78" s="79"/>
      <c r="L78" s="1"/>
    </row>
    <row r="79" spans="1:12" ht="17.25" customHeight="1" x14ac:dyDescent="0.15">
      <c r="A79" s="26">
        <v>63</v>
      </c>
      <c r="B79" s="89"/>
      <c r="C79" s="51"/>
      <c r="D79" s="29"/>
      <c r="E79" s="51"/>
      <c r="F79" s="29"/>
      <c r="G79" s="140"/>
      <c r="H79" s="141"/>
      <c r="I79" s="51"/>
      <c r="J79" s="36"/>
      <c r="K79" s="79"/>
      <c r="L79" s="1"/>
    </row>
    <row r="80" spans="1:12" ht="17.25" customHeight="1" x14ac:dyDescent="0.15">
      <c r="A80" s="26">
        <v>64</v>
      </c>
      <c r="B80" s="89"/>
      <c r="C80" s="51"/>
      <c r="D80" s="29"/>
      <c r="E80" s="51"/>
      <c r="F80" s="29"/>
      <c r="G80" s="140"/>
      <c r="H80" s="141"/>
      <c r="I80" s="51"/>
      <c r="J80" s="36"/>
      <c r="K80" s="79"/>
      <c r="L80" s="1"/>
    </row>
    <row r="81" spans="1:12" ht="17.25" customHeight="1" x14ac:dyDescent="0.15">
      <c r="A81" s="26">
        <v>65</v>
      </c>
      <c r="B81" s="89"/>
      <c r="C81" s="51"/>
      <c r="D81" s="29"/>
      <c r="E81" s="51"/>
      <c r="F81" s="29"/>
      <c r="G81" s="140"/>
      <c r="H81" s="141"/>
      <c r="I81" s="51"/>
      <c r="J81" s="36"/>
      <c r="K81" s="79"/>
      <c r="L81" s="1"/>
    </row>
    <row r="82" spans="1:12" ht="17.25" customHeight="1" x14ac:dyDescent="0.15">
      <c r="A82" s="26">
        <v>66</v>
      </c>
      <c r="B82" s="89"/>
      <c r="C82" s="51"/>
      <c r="D82" s="29"/>
      <c r="E82" s="51"/>
      <c r="F82" s="29"/>
      <c r="G82" s="140"/>
      <c r="H82" s="141"/>
      <c r="I82" s="51"/>
      <c r="J82" s="36"/>
      <c r="K82" s="79"/>
      <c r="L82" s="1"/>
    </row>
    <row r="83" spans="1:12" ht="17.25" customHeight="1" x14ac:dyDescent="0.15">
      <c r="A83" s="26">
        <v>67</v>
      </c>
      <c r="B83" s="89"/>
      <c r="C83" s="51"/>
      <c r="D83" s="29"/>
      <c r="E83" s="51"/>
      <c r="F83" s="29"/>
      <c r="G83" s="140"/>
      <c r="H83" s="141"/>
      <c r="I83" s="51"/>
      <c r="J83" s="36"/>
      <c r="K83" s="79"/>
      <c r="L83" s="1"/>
    </row>
    <row r="84" spans="1:12" ht="17.25" customHeight="1" x14ac:dyDescent="0.15">
      <c r="A84" s="26">
        <v>68</v>
      </c>
      <c r="B84" s="89"/>
      <c r="C84" s="51"/>
      <c r="D84" s="29"/>
      <c r="E84" s="51"/>
      <c r="F84" s="29"/>
      <c r="G84" s="140"/>
      <c r="H84" s="141"/>
      <c r="I84" s="51"/>
      <c r="J84" s="36"/>
      <c r="K84" s="79"/>
      <c r="L84" s="1"/>
    </row>
    <row r="85" spans="1:12" ht="17.25" customHeight="1" x14ac:dyDescent="0.15">
      <c r="A85" s="26">
        <v>69</v>
      </c>
      <c r="B85" s="89"/>
      <c r="C85" s="51"/>
      <c r="D85" s="29"/>
      <c r="E85" s="51"/>
      <c r="F85" s="29"/>
      <c r="G85" s="140"/>
      <c r="H85" s="141"/>
      <c r="I85" s="51"/>
      <c r="J85" s="36"/>
      <c r="K85" s="79"/>
      <c r="L85" s="1"/>
    </row>
    <row r="86" spans="1:12" ht="17.25" customHeight="1" x14ac:dyDescent="0.15">
      <c r="A86" s="26">
        <v>70</v>
      </c>
      <c r="B86" s="89"/>
      <c r="C86" s="51"/>
      <c r="D86" s="29"/>
      <c r="E86" s="51"/>
      <c r="F86" s="29"/>
      <c r="G86" s="140"/>
      <c r="H86" s="141"/>
      <c r="I86" s="51"/>
      <c r="J86" s="36"/>
      <c r="K86" s="79"/>
      <c r="L86" s="1"/>
    </row>
    <row r="87" spans="1:12" ht="17.25" customHeight="1" x14ac:dyDescent="0.15">
      <c r="A87" s="26">
        <v>71</v>
      </c>
      <c r="B87" s="89"/>
      <c r="C87" s="51"/>
      <c r="D87" s="29"/>
      <c r="E87" s="51"/>
      <c r="F87" s="29"/>
      <c r="G87" s="140"/>
      <c r="H87" s="141"/>
      <c r="I87" s="51"/>
      <c r="J87" s="36"/>
      <c r="K87" s="79"/>
      <c r="L87" s="1"/>
    </row>
    <row r="88" spans="1:12" ht="17.25" customHeight="1" x14ac:dyDescent="0.15">
      <c r="A88" s="26">
        <v>72</v>
      </c>
      <c r="B88" s="89"/>
      <c r="C88" s="51"/>
      <c r="D88" s="29"/>
      <c r="E88" s="51"/>
      <c r="F88" s="29"/>
      <c r="G88" s="140"/>
      <c r="H88" s="141"/>
      <c r="I88" s="51"/>
      <c r="J88" s="36"/>
      <c r="K88" s="79"/>
      <c r="L88" s="1"/>
    </row>
    <row r="89" spans="1:12" ht="17.25" customHeight="1" x14ac:dyDescent="0.15">
      <c r="A89" s="26">
        <v>73</v>
      </c>
      <c r="B89" s="89"/>
      <c r="C89" s="51"/>
      <c r="D89" s="29"/>
      <c r="E89" s="51"/>
      <c r="F89" s="29"/>
      <c r="G89" s="140"/>
      <c r="H89" s="141"/>
      <c r="I89" s="51"/>
      <c r="J89" s="36"/>
      <c r="K89" s="79"/>
      <c r="L89" s="1"/>
    </row>
    <row r="90" spans="1:12" ht="17.25" customHeight="1" x14ac:dyDescent="0.15">
      <c r="A90" s="26">
        <v>74</v>
      </c>
      <c r="B90" s="89"/>
      <c r="C90" s="51"/>
      <c r="D90" s="29"/>
      <c r="E90" s="51"/>
      <c r="F90" s="29"/>
      <c r="G90" s="140"/>
      <c r="H90" s="141"/>
      <c r="I90" s="51"/>
      <c r="J90" s="36"/>
      <c r="K90" s="79"/>
      <c r="L90" s="1"/>
    </row>
    <row r="91" spans="1:12" ht="17.25" customHeight="1" x14ac:dyDescent="0.15">
      <c r="A91" s="26">
        <v>75</v>
      </c>
      <c r="B91" s="89"/>
      <c r="C91" s="51"/>
      <c r="D91" s="29"/>
      <c r="E91" s="51"/>
      <c r="F91" s="29"/>
      <c r="G91" s="140"/>
      <c r="H91" s="141"/>
      <c r="I91" s="51"/>
      <c r="J91" s="36"/>
      <c r="K91" s="79"/>
      <c r="L91" s="1"/>
    </row>
    <row r="92" spans="1:12" ht="17.25" customHeight="1" x14ac:dyDescent="0.15">
      <c r="A92" s="26">
        <v>76</v>
      </c>
      <c r="B92" s="89"/>
      <c r="C92" s="51"/>
      <c r="D92" s="29"/>
      <c r="E92" s="51"/>
      <c r="F92" s="29"/>
      <c r="G92" s="140"/>
      <c r="H92" s="141"/>
      <c r="I92" s="51"/>
      <c r="J92" s="36"/>
      <c r="K92" s="79"/>
      <c r="L92" s="1"/>
    </row>
    <row r="93" spans="1:12" ht="17.25" customHeight="1" x14ac:dyDescent="0.15">
      <c r="A93" s="26">
        <v>77</v>
      </c>
      <c r="B93" s="89"/>
      <c r="C93" s="51"/>
      <c r="D93" s="29"/>
      <c r="E93" s="51"/>
      <c r="F93" s="29"/>
      <c r="G93" s="140"/>
      <c r="H93" s="141"/>
      <c r="I93" s="51"/>
      <c r="J93" s="36"/>
      <c r="K93" s="79"/>
      <c r="L93" s="1"/>
    </row>
    <row r="94" spans="1:12" ht="17.25" customHeight="1" x14ac:dyDescent="0.15">
      <c r="A94" s="26">
        <v>78</v>
      </c>
      <c r="B94" s="89"/>
      <c r="C94" s="51"/>
      <c r="D94" s="29"/>
      <c r="E94" s="51"/>
      <c r="F94" s="29"/>
      <c r="G94" s="140"/>
      <c r="H94" s="141"/>
      <c r="I94" s="51"/>
      <c r="J94" s="36"/>
      <c r="K94" s="79"/>
      <c r="L94" s="1"/>
    </row>
    <row r="95" spans="1:12" ht="17.25" customHeight="1" x14ac:dyDescent="0.15">
      <c r="A95" s="26">
        <v>79</v>
      </c>
      <c r="B95" s="89"/>
      <c r="C95" s="51"/>
      <c r="D95" s="29"/>
      <c r="E95" s="51"/>
      <c r="F95" s="29"/>
      <c r="G95" s="140"/>
      <c r="H95" s="141"/>
      <c r="I95" s="51"/>
      <c r="J95" s="36"/>
      <c r="K95" s="79"/>
      <c r="L95" s="1"/>
    </row>
    <row r="96" spans="1:12" ht="17.25" customHeight="1" x14ac:dyDescent="0.15">
      <c r="A96" s="26">
        <v>80</v>
      </c>
      <c r="B96" s="89"/>
      <c r="C96" s="51"/>
      <c r="D96" s="29"/>
      <c r="E96" s="51"/>
      <c r="F96" s="29"/>
      <c r="G96" s="140"/>
      <c r="H96" s="141"/>
      <c r="I96" s="51"/>
      <c r="J96" s="36"/>
      <c r="K96" s="79"/>
      <c r="L96" s="1"/>
    </row>
    <row r="97" spans="1:12" ht="17.25" customHeight="1" x14ac:dyDescent="0.15">
      <c r="A97" s="26">
        <v>81</v>
      </c>
      <c r="B97" s="89"/>
      <c r="C97" s="51"/>
      <c r="D97" s="29"/>
      <c r="E97" s="51"/>
      <c r="F97" s="29"/>
      <c r="G97" s="140"/>
      <c r="H97" s="141"/>
      <c r="I97" s="51"/>
      <c r="J97" s="36"/>
      <c r="K97" s="79"/>
      <c r="L97" s="1"/>
    </row>
    <row r="98" spans="1:12" ht="17.25" customHeight="1" x14ac:dyDescent="0.15">
      <c r="A98" s="26">
        <v>82</v>
      </c>
      <c r="B98" s="89"/>
      <c r="C98" s="51"/>
      <c r="D98" s="29"/>
      <c r="E98" s="51"/>
      <c r="F98" s="29"/>
      <c r="G98" s="140"/>
      <c r="H98" s="141"/>
      <c r="I98" s="51"/>
      <c r="J98" s="36"/>
      <c r="K98" s="79"/>
      <c r="L98" s="1"/>
    </row>
    <row r="99" spans="1:12" ht="17.25" customHeight="1" x14ac:dyDescent="0.15">
      <c r="A99" s="26">
        <v>83</v>
      </c>
      <c r="B99" s="89"/>
      <c r="C99" s="51"/>
      <c r="D99" s="29"/>
      <c r="E99" s="51"/>
      <c r="F99" s="29"/>
      <c r="G99" s="140"/>
      <c r="H99" s="141"/>
      <c r="I99" s="51"/>
      <c r="J99" s="36"/>
      <c r="K99" s="79"/>
      <c r="L99" s="1"/>
    </row>
    <row r="100" spans="1:12" ht="17.25" customHeight="1" x14ac:dyDescent="0.15">
      <c r="A100" s="26">
        <v>84</v>
      </c>
      <c r="B100" s="89"/>
      <c r="C100" s="51"/>
      <c r="D100" s="29"/>
      <c r="E100" s="51"/>
      <c r="F100" s="29"/>
      <c r="G100" s="140"/>
      <c r="H100" s="141"/>
      <c r="I100" s="51"/>
      <c r="J100" s="36"/>
      <c r="K100" s="79"/>
      <c r="L100" s="1"/>
    </row>
    <row r="101" spans="1:12" ht="17.25" customHeight="1" x14ac:dyDescent="0.15">
      <c r="A101" s="26">
        <v>85</v>
      </c>
      <c r="B101" s="89"/>
      <c r="C101" s="51"/>
      <c r="D101" s="29"/>
      <c r="E101" s="51"/>
      <c r="F101" s="29"/>
      <c r="G101" s="140"/>
      <c r="H101" s="141"/>
      <c r="I101" s="51"/>
      <c r="J101" s="36"/>
      <c r="K101" s="79"/>
      <c r="L101" s="1"/>
    </row>
    <row r="102" spans="1:12" ht="17.25" customHeight="1" x14ac:dyDescent="0.15">
      <c r="A102" s="26">
        <v>86</v>
      </c>
      <c r="B102" s="89"/>
      <c r="C102" s="51"/>
      <c r="D102" s="29"/>
      <c r="E102" s="51"/>
      <c r="F102" s="29"/>
      <c r="G102" s="140"/>
      <c r="H102" s="141"/>
      <c r="I102" s="51"/>
      <c r="J102" s="36"/>
      <c r="K102" s="79"/>
      <c r="L102" s="1"/>
    </row>
    <row r="103" spans="1:12" ht="17.25" customHeight="1" x14ac:dyDescent="0.15">
      <c r="A103" s="26">
        <v>87</v>
      </c>
      <c r="B103" s="89"/>
      <c r="C103" s="51"/>
      <c r="D103" s="29"/>
      <c r="E103" s="51"/>
      <c r="F103" s="29"/>
      <c r="G103" s="140"/>
      <c r="H103" s="141"/>
      <c r="I103" s="51"/>
      <c r="J103" s="36"/>
      <c r="K103" s="79"/>
      <c r="L103" s="1"/>
    </row>
    <row r="104" spans="1:12" ht="17.25" customHeight="1" x14ac:dyDescent="0.15">
      <c r="A104" s="26">
        <v>88</v>
      </c>
      <c r="B104" s="89"/>
      <c r="C104" s="51"/>
      <c r="D104" s="29"/>
      <c r="E104" s="51"/>
      <c r="F104" s="29"/>
      <c r="G104" s="140"/>
      <c r="H104" s="141"/>
      <c r="I104" s="51"/>
      <c r="J104" s="36"/>
      <c r="K104" s="79"/>
      <c r="L104" s="1"/>
    </row>
    <row r="105" spans="1:12" ht="17.25" customHeight="1" x14ac:dyDescent="0.15">
      <c r="A105" s="26">
        <v>89</v>
      </c>
      <c r="B105" s="89"/>
      <c r="C105" s="51"/>
      <c r="D105" s="29"/>
      <c r="E105" s="51"/>
      <c r="F105" s="29"/>
      <c r="G105" s="140"/>
      <c r="H105" s="141"/>
      <c r="I105" s="51"/>
      <c r="J105" s="36"/>
      <c r="K105" s="79"/>
      <c r="L105" s="1"/>
    </row>
    <row r="106" spans="1:12" ht="17.25" customHeight="1" x14ac:dyDescent="0.15">
      <c r="A106" s="26">
        <v>90</v>
      </c>
      <c r="B106" s="89"/>
      <c r="C106" s="51"/>
      <c r="D106" s="29"/>
      <c r="E106" s="51"/>
      <c r="F106" s="29"/>
      <c r="G106" s="140"/>
      <c r="H106" s="141"/>
      <c r="I106" s="51"/>
      <c r="J106" s="36"/>
      <c r="K106" s="79"/>
      <c r="L106" s="1"/>
    </row>
    <row r="107" spans="1:12" ht="17.25" customHeight="1" x14ac:dyDescent="0.15">
      <c r="A107" s="26">
        <v>91</v>
      </c>
      <c r="B107" s="89"/>
      <c r="C107" s="51"/>
      <c r="D107" s="29"/>
      <c r="E107" s="51"/>
      <c r="F107" s="29"/>
      <c r="G107" s="140"/>
      <c r="H107" s="141"/>
      <c r="I107" s="51"/>
      <c r="J107" s="36"/>
      <c r="K107" s="79"/>
      <c r="L107" s="1"/>
    </row>
    <row r="108" spans="1:12" ht="17.25" customHeight="1" x14ac:dyDescent="0.15">
      <c r="A108" s="26">
        <v>92</v>
      </c>
      <c r="B108" s="89"/>
      <c r="C108" s="51"/>
      <c r="D108" s="29"/>
      <c r="E108" s="51"/>
      <c r="F108" s="29"/>
      <c r="G108" s="140"/>
      <c r="H108" s="141"/>
      <c r="I108" s="51"/>
      <c r="J108" s="36"/>
      <c r="K108" s="79"/>
      <c r="L108" s="1"/>
    </row>
    <row r="109" spans="1:12" ht="17.25" customHeight="1" x14ac:dyDescent="0.15">
      <c r="A109" s="26">
        <v>93</v>
      </c>
      <c r="B109" s="89"/>
      <c r="C109" s="51"/>
      <c r="D109" s="29"/>
      <c r="E109" s="51"/>
      <c r="F109" s="29"/>
      <c r="G109" s="140"/>
      <c r="H109" s="141"/>
      <c r="I109" s="51"/>
      <c r="J109" s="36"/>
      <c r="K109" s="79"/>
      <c r="L109" s="1"/>
    </row>
    <row r="110" spans="1:12" ht="17.25" customHeight="1" x14ac:dyDescent="0.15">
      <c r="A110" s="26">
        <v>94</v>
      </c>
      <c r="B110" s="89"/>
      <c r="C110" s="51"/>
      <c r="D110" s="29"/>
      <c r="E110" s="51"/>
      <c r="F110" s="29"/>
      <c r="G110" s="140"/>
      <c r="H110" s="141"/>
      <c r="I110" s="51"/>
      <c r="J110" s="36"/>
      <c r="K110" s="79"/>
      <c r="L110" s="1"/>
    </row>
    <row r="111" spans="1:12" ht="17.25" customHeight="1" x14ac:dyDescent="0.15">
      <c r="A111" s="26">
        <v>95</v>
      </c>
      <c r="B111" s="89"/>
      <c r="C111" s="51"/>
      <c r="D111" s="29"/>
      <c r="E111" s="51"/>
      <c r="F111" s="29"/>
      <c r="G111" s="140"/>
      <c r="H111" s="141"/>
      <c r="I111" s="51"/>
      <c r="J111" s="36"/>
      <c r="K111" s="79"/>
      <c r="L111" s="1"/>
    </row>
    <row r="112" spans="1:12" ht="17.25" customHeight="1" x14ac:dyDescent="0.15">
      <c r="A112" s="26">
        <v>96</v>
      </c>
      <c r="B112" s="89"/>
      <c r="C112" s="51"/>
      <c r="D112" s="29"/>
      <c r="E112" s="51"/>
      <c r="F112" s="29"/>
      <c r="G112" s="140"/>
      <c r="H112" s="141"/>
      <c r="I112" s="51"/>
      <c r="J112" s="36"/>
      <c r="K112" s="79"/>
      <c r="L112" s="1"/>
    </row>
    <row r="113" spans="1:12" ht="17.25" customHeight="1" x14ac:dyDescent="0.15">
      <c r="A113" s="26">
        <v>97</v>
      </c>
      <c r="B113" s="89"/>
      <c r="C113" s="51"/>
      <c r="D113" s="29"/>
      <c r="E113" s="51"/>
      <c r="F113" s="29"/>
      <c r="G113" s="140"/>
      <c r="H113" s="141"/>
      <c r="I113" s="51"/>
      <c r="J113" s="36"/>
      <c r="K113" s="79"/>
      <c r="L113" s="1"/>
    </row>
    <row r="114" spans="1:12" ht="17.25" customHeight="1" x14ac:dyDescent="0.15">
      <c r="A114" s="26">
        <v>98</v>
      </c>
      <c r="B114" s="89"/>
      <c r="C114" s="51"/>
      <c r="D114" s="29"/>
      <c r="E114" s="51"/>
      <c r="F114" s="29"/>
      <c r="G114" s="140"/>
      <c r="H114" s="141"/>
      <c r="I114" s="51"/>
      <c r="J114" s="36"/>
      <c r="K114" s="79"/>
      <c r="L114" s="1"/>
    </row>
    <row r="115" spans="1:12" ht="17.25" customHeight="1" x14ac:dyDescent="0.15">
      <c r="A115" s="26">
        <v>99</v>
      </c>
      <c r="B115" s="89"/>
      <c r="C115" s="51"/>
      <c r="D115" s="29"/>
      <c r="E115" s="51"/>
      <c r="F115" s="29"/>
      <c r="G115" s="140"/>
      <c r="H115" s="141"/>
      <c r="I115" s="51"/>
      <c r="J115" s="36"/>
      <c r="K115" s="79"/>
      <c r="L115" s="1"/>
    </row>
    <row r="116" spans="1:12" ht="17.25" customHeight="1" thickBot="1" x14ac:dyDescent="0.2">
      <c r="A116" s="30">
        <v>100</v>
      </c>
      <c r="B116" s="52"/>
      <c r="C116" s="52"/>
      <c r="D116" s="31"/>
      <c r="E116" s="52"/>
      <c r="F116" s="31"/>
      <c r="G116" s="147"/>
      <c r="H116" s="148"/>
      <c r="I116" s="52"/>
      <c r="J116" s="37"/>
      <c r="K116" s="79"/>
      <c r="L116" s="1"/>
    </row>
  </sheetData>
  <mergeCells count="117">
    <mergeCell ref="G113:H113"/>
    <mergeCell ref="G114:H114"/>
    <mergeCell ref="G115:H115"/>
    <mergeCell ref="G116:H116"/>
    <mergeCell ref="G10:J10"/>
    <mergeCell ref="G108:H108"/>
    <mergeCell ref="G109:H109"/>
    <mergeCell ref="G110:H110"/>
    <mergeCell ref="G111:H111"/>
    <mergeCell ref="G112:H112"/>
    <mergeCell ref="G103:H103"/>
    <mergeCell ref="G104:H104"/>
    <mergeCell ref="G105:H105"/>
    <mergeCell ref="G106:H106"/>
    <mergeCell ref="G107:H107"/>
    <mergeCell ref="G98:H98"/>
    <mergeCell ref="G99:H99"/>
    <mergeCell ref="G100:H100"/>
    <mergeCell ref="G101:H101"/>
    <mergeCell ref="G102:H102"/>
    <mergeCell ref="G93:H93"/>
    <mergeCell ref="G94:H94"/>
    <mergeCell ref="G95:H95"/>
    <mergeCell ref="G96:H96"/>
    <mergeCell ref="G97:H97"/>
    <mergeCell ref="G88:H88"/>
    <mergeCell ref="G89:H89"/>
    <mergeCell ref="G90:H90"/>
    <mergeCell ref="G91:H91"/>
    <mergeCell ref="G92:H92"/>
    <mergeCell ref="G83:H83"/>
    <mergeCell ref="G84:H84"/>
    <mergeCell ref="G85:H85"/>
    <mergeCell ref="G86:H86"/>
    <mergeCell ref="G87:H87"/>
    <mergeCell ref="G78:H78"/>
    <mergeCell ref="G79:H79"/>
    <mergeCell ref="G80:H80"/>
    <mergeCell ref="G81:H81"/>
    <mergeCell ref="G82:H82"/>
    <mergeCell ref="G73:H73"/>
    <mergeCell ref="G74:H74"/>
    <mergeCell ref="G75:H75"/>
    <mergeCell ref="G76:H76"/>
    <mergeCell ref="G77:H77"/>
    <mergeCell ref="G68:H68"/>
    <mergeCell ref="G69:H69"/>
    <mergeCell ref="G70:H70"/>
    <mergeCell ref="G71:H71"/>
    <mergeCell ref="G72:H72"/>
    <mergeCell ref="G63:H63"/>
    <mergeCell ref="G64:H64"/>
    <mergeCell ref="G65:H65"/>
    <mergeCell ref="G66:H66"/>
    <mergeCell ref="G67:H67"/>
    <mergeCell ref="G58:H58"/>
    <mergeCell ref="G59:H59"/>
    <mergeCell ref="G60:H60"/>
    <mergeCell ref="G61:H61"/>
    <mergeCell ref="G62:H62"/>
    <mergeCell ref="G53:H53"/>
    <mergeCell ref="G54:H54"/>
    <mergeCell ref="G55:H55"/>
    <mergeCell ref="G56:H56"/>
    <mergeCell ref="G57:H57"/>
    <mergeCell ref="G49:H49"/>
    <mergeCell ref="G50:H50"/>
    <mergeCell ref="G51:H51"/>
    <mergeCell ref="G52:H52"/>
    <mergeCell ref="G43:H43"/>
    <mergeCell ref="G44:H44"/>
    <mergeCell ref="G45:H45"/>
    <mergeCell ref="G46:H46"/>
    <mergeCell ref="G47:H47"/>
    <mergeCell ref="G40:H40"/>
    <mergeCell ref="G41:H41"/>
    <mergeCell ref="G42:H42"/>
    <mergeCell ref="G33:H33"/>
    <mergeCell ref="G34:H34"/>
    <mergeCell ref="G35:H35"/>
    <mergeCell ref="G36:H36"/>
    <mergeCell ref="G37:H37"/>
    <mergeCell ref="G48:H48"/>
    <mergeCell ref="G31:H31"/>
    <mergeCell ref="G32:H32"/>
    <mergeCell ref="G23:H23"/>
    <mergeCell ref="G24:H24"/>
    <mergeCell ref="G25:H25"/>
    <mergeCell ref="G26:H26"/>
    <mergeCell ref="G27:H27"/>
    <mergeCell ref="G38:H38"/>
    <mergeCell ref="G39:H39"/>
    <mergeCell ref="C12:F12"/>
    <mergeCell ref="G12:J12"/>
    <mergeCell ref="G28:H28"/>
    <mergeCell ref="G29:H29"/>
    <mergeCell ref="G30:H30"/>
    <mergeCell ref="D11:E11"/>
    <mergeCell ref="D13:E13"/>
    <mergeCell ref="G18:H18"/>
    <mergeCell ref="G19:H19"/>
    <mergeCell ref="G20:H20"/>
    <mergeCell ref="G21:H21"/>
    <mergeCell ref="G22:H22"/>
    <mergeCell ref="G16:H16"/>
    <mergeCell ref="G17:H17"/>
    <mergeCell ref="D9:E9"/>
    <mergeCell ref="A7:B7"/>
    <mergeCell ref="B3:C3"/>
    <mergeCell ref="A6:B6"/>
    <mergeCell ref="C6:E6"/>
    <mergeCell ref="K4:L4"/>
    <mergeCell ref="K5:L5"/>
    <mergeCell ref="A4:D4"/>
    <mergeCell ref="B5:D5"/>
    <mergeCell ref="G5:J5"/>
    <mergeCell ref="G4:J4"/>
  </mergeCells>
  <phoneticPr fontId="19"/>
  <dataValidations count="7">
    <dataValidation type="list" allowBlank="1" showInputMessage="1" showErrorMessage="1" sqref="B17:B116" xr:uid="{00000000-0002-0000-0100-000000000000}">
      <formula1>"1A,1B,2A,2B,3A,3B,4A,4B,5A,5B,6A,6B,7A,7B,8A,8B"</formula1>
    </dataValidation>
    <dataValidation type="list" allowBlank="1" showInputMessage="1" showErrorMessage="1" sqref="E17:E116" xr:uid="{00000000-0002-0000-0100-000001000000}">
      <formula1>"3,2,1"</formula1>
    </dataValidation>
    <dataValidation type="list" allowBlank="1" showInputMessage="1" showErrorMessage="1" sqref="I17:I116" xr:uid="{00000000-0002-0000-0100-000002000000}">
      <formula1>"入学,転入"</formula1>
    </dataValidation>
    <dataValidation type="list" allowBlank="1" showInputMessage="1" showErrorMessage="1" sqref="C17:C116" xr:uid="{00000000-0002-0000-0100-000003000000}">
      <formula1>"1,2,3,4,5,6,7,8"</formula1>
    </dataValidation>
    <dataValidation type="list" allowBlank="1" showInputMessage="1" showErrorMessage="1" sqref="D7" xr:uid="{00000000-0002-0000-0100-000005000000}">
      <formula1>"教諭,主幹教諭,指導教諭,助教諭,常勤講師,教頭,副校長,校長,部活動指導員"</formula1>
    </dataValidation>
    <dataValidation type="list" showInputMessage="1" showErrorMessage="1" sqref="B3:C3" xr:uid="{00000000-0002-0000-0100-000006000000}">
      <formula1>"　 ,男子,女子"</formula1>
    </dataValidation>
    <dataValidation type="list" showInputMessage="1" showErrorMessage="1" sqref="F11 F9 F13" xr:uid="{00000000-0002-0000-0100-000007000000}">
      <formula1>"　,当該校職員,部活動指導員"</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IV64"/>
  <sheetViews>
    <sheetView zoomScaleNormal="100" workbookViewId="0">
      <selection activeCell="E9" sqref="E9"/>
    </sheetView>
  </sheetViews>
  <sheetFormatPr defaultRowHeight="13.5" x14ac:dyDescent="0.15"/>
  <cols>
    <col min="1" max="3" width="4.625" style="38" customWidth="1"/>
    <col min="4" max="4" width="7.625" style="38" customWidth="1"/>
    <col min="5" max="5" width="11.75" style="38" customWidth="1"/>
    <col min="6" max="6" width="7.625" style="38" customWidth="1"/>
    <col min="7" max="7" width="6.625" style="38" customWidth="1"/>
    <col min="8" max="8" width="4.625" style="38" customWidth="1"/>
    <col min="9" max="9" width="3.625" style="38" customWidth="1"/>
    <col min="10" max="10" width="4.125" style="38" customWidth="1"/>
    <col min="11" max="12" width="4.625" style="38" customWidth="1"/>
    <col min="13" max="13" width="13.625" style="38" customWidth="1"/>
    <col min="14" max="14" width="6.625" style="38" customWidth="1"/>
    <col min="15" max="15" width="11.75" style="38" customWidth="1"/>
    <col min="16" max="16" width="13.625" style="38" customWidth="1"/>
    <col min="17" max="256" width="8.875" style="38" customWidth="1"/>
  </cols>
  <sheetData>
    <row r="1" spans="1:16" ht="27" customHeight="1" thickTop="1" thickBot="1" x14ac:dyDescent="0.2">
      <c r="A1" s="179" t="s">
        <v>40</v>
      </c>
      <c r="B1" s="180"/>
      <c r="C1" s="181"/>
    </row>
    <row r="2" spans="1:16" ht="19.5" thickTop="1" x14ac:dyDescent="0.15">
      <c r="A2" s="191" t="str">
        <f>IF($A$1="全国",$A$63,IF($A$1="新人",$A$64,""))</f>
        <v>福岡県高等学校総合体育大会　ソフトテニス選手権大会　</v>
      </c>
      <c r="B2" s="191"/>
      <c r="C2" s="191"/>
      <c r="D2" s="191"/>
      <c r="E2" s="191"/>
      <c r="F2" s="191"/>
      <c r="G2" s="191"/>
      <c r="H2" s="191"/>
      <c r="I2" s="191"/>
      <c r="J2" s="191"/>
      <c r="K2" s="191"/>
      <c r="L2" s="191"/>
      <c r="M2" s="191"/>
      <c r="N2" s="191"/>
      <c r="O2" s="191"/>
      <c r="P2" s="191"/>
    </row>
    <row r="3" spans="1:16" x14ac:dyDescent="0.15">
      <c r="A3" s="192" t="str">
        <f>IF($A$1="全九州",$B$62,IF($A$1="全国",$B$63,IF($A$1="新人",$B$64,"")))</f>
        <v>（ 兼 全国高等学校総合体育大会　ソフトテニス選手権大会　福岡県予選 ）</v>
      </c>
      <c r="B3" s="192"/>
      <c r="C3" s="192"/>
      <c r="D3" s="192"/>
      <c r="E3" s="192"/>
      <c r="F3" s="192"/>
      <c r="G3" s="192"/>
      <c r="H3" s="192"/>
      <c r="I3" s="192"/>
      <c r="J3" s="192"/>
      <c r="K3" s="192"/>
      <c r="L3" s="192"/>
      <c r="M3" s="192"/>
      <c r="N3" s="192"/>
      <c r="O3" s="192"/>
      <c r="P3" s="192"/>
    </row>
    <row r="4" spans="1:16" x14ac:dyDescent="0.15">
      <c r="A4" s="192" t="str">
        <f>IF($A$1="全国",$B$62,"")</f>
        <v xml:space="preserve">（ 兼 全九州高等学校体育大会　ソフトテニス競技　福岡県予選 ）            </v>
      </c>
      <c r="B4" s="192"/>
      <c r="C4" s="192"/>
      <c r="D4" s="192"/>
      <c r="E4" s="192"/>
      <c r="F4" s="192"/>
      <c r="G4" s="192"/>
      <c r="H4" s="192"/>
      <c r="I4" s="192"/>
      <c r="J4" s="192"/>
      <c r="K4" s="192"/>
      <c r="L4" s="192"/>
      <c r="M4" s="192"/>
      <c r="N4" s="192"/>
      <c r="O4" s="192"/>
      <c r="P4" s="192"/>
    </row>
    <row r="5" spans="1:16" ht="29.25" customHeight="1" x14ac:dyDescent="0.15">
      <c r="A5" s="191" t="s">
        <v>41</v>
      </c>
      <c r="B5" s="191"/>
      <c r="C5" s="191"/>
      <c r="D5" s="191"/>
      <c r="E5" s="191"/>
      <c r="F5" s="191"/>
      <c r="G5" s="191"/>
      <c r="H5" s="191"/>
      <c r="I5" s="191"/>
      <c r="J5" s="191"/>
      <c r="K5" s="191"/>
      <c r="L5" s="191"/>
      <c r="M5" s="191"/>
      <c r="N5" s="191"/>
      <c r="O5" s="191"/>
      <c r="P5" s="191"/>
    </row>
    <row r="6" spans="1:16" ht="17.25" x14ac:dyDescent="0.15">
      <c r="A6" s="199" t="s">
        <v>28</v>
      </c>
      <c r="B6" s="199"/>
      <c r="C6" s="199"/>
      <c r="D6" s="39"/>
      <c r="E6" s="39"/>
      <c r="F6" s="39"/>
      <c r="G6" s="39"/>
      <c r="H6" s="39"/>
      <c r="I6" s="39"/>
      <c r="J6" s="39"/>
      <c r="K6" s="39"/>
      <c r="L6" s="39"/>
      <c r="M6" s="39"/>
      <c r="N6" s="39"/>
      <c r="O6" s="39"/>
      <c r="P6" s="39"/>
    </row>
    <row r="7" spans="1:16" ht="15" customHeight="1" x14ac:dyDescent="0.15">
      <c r="A7" s="208" t="s">
        <v>15</v>
      </c>
      <c r="B7" s="204">
        <f>データ入力用!B3</f>
        <v>0</v>
      </c>
      <c r="C7" s="205"/>
      <c r="D7" s="152" t="s">
        <v>19</v>
      </c>
      <c r="E7" s="211">
        <f>データ入力用!B5</f>
        <v>0</v>
      </c>
      <c r="F7" s="211"/>
      <c r="G7" s="211"/>
      <c r="H7" s="211"/>
      <c r="I7" s="211"/>
      <c r="J7" s="211"/>
      <c r="K7" s="212"/>
      <c r="L7" s="193" t="s">
        <v>20</v>
      </c>
      <c r="M7" s="215" t="str">
        <f>"〒"&amp;データ入力用!F5</f>
        <v>〒</v>
      </c>
      <c r="N7" s="216"/>
      <c r="O7" s="216"/>
      <c r="P7" s="217"/>
    </row>
    <row r="8" spans="1:16" ht="18.75" customHeight="1" x14ac:dyDescent="0.15">
      <c r="A8" s="209"/>
      <c r="B8" s="206"/>
      <c r="C8" s="207"/>
      <c r="D8" s="153"/>
      <c r="E8" s="213"/>
      <c r="F8" s="213"/>
      <c r="G8" s="213"/>
      <c r="H8" s="213"/>
      <c r="I8" s="213"/>
      <c r="J8" s="213"/>
      <c r="K8" s="214"/>
      <c r="L8" s="210"/>
      <c r="M8" s="218">
        <f>データ入力用!G5</f>
        <v>0</v>
      </c>
      <c r="N8" s="219"/>
      <c r="O8" s="219"/>
      <c r="P8" s="220"/>
    </row>
    <row r="9" spans="1:16" ht="26.25" customHeight="1" x14ac:dyDescent="0.15">
      <c r="A9" s="198" t="s">
        <v>22</v>
      </c>
      <c r="B9" s="168"/>
      <c r="C9" s="168"/>
      <c r="D9" s="40" t="s">
        <v>23</v>
      </c>
      <c r="E9" s="41">
        <f>データ入力用!D7</f>
        <v>0</v>
      </c>
      <c r="F9" s="40" t="s">
        <v>24</v>
      </c>
      <c r="G9" s="197">
        <f>データ入力用!F7</f>
        <v>0</v>
      </c>
      <c r="H9" s="197"/>
      <c r="I9" s="197"/>
      <c r="J9" s="197"/>
      <c r="K9" s="201"/>
      <c r="L9" s="194"/>
      <c r="M9" s="221">
        <f>データ入力用!K5</f>
        <v>0</v>
      </c>
      <c r="N9" s="222"/>
      <c r="O9" s="222"/>
      <c r="P9" s="223"/>
    </row>
    <row r="10" spans="1:16" ht="24.75" customHeight="1" x14ac:dyDescent="0.2">
      <c r="A10" s="182" t="s">
        <v>25</v>
      </c>
      <c r="B10" s="182"/>
      <c r="C10" s="182"/>
      <c r="D10" s="182"/>
      <c r="E10" s="182"/>
      <c r="F10" s="182"/>
      <c r="G10" s="182"/>
      <c r="H10" s="182"/>
      <c r="I10" s="182"/>
      <c r="J10" s="182"/>
      <c r="K10" s="182"/>
      <c r="L10" s="182"/>
      <c r="M10" s="182"/>
      <c r="N10" s="182"/>
      <c r="O10" s="182"/>
      <c r="P10" s="182"/>
    </row>
    <row r="11" spans="1:16" x14ac:dyDescent="0.15">
      <c r="A11" s="193" t="s">
        <v>29</v>
      </c>
      <c r="B11" s="195" t="s">
        <v>42</v>
      </c>
      <c r="C11" s="152" t="s">
        <v>43</v>
      </c>
      <c r="D11" s="152"/>
      <c r="E11" s="152"/>
      <c r="F11" s="152"/>
      <c r="G11" s="152"/>
      <c r="H11" s="152"/>
      <c r="I11" s="200"/>
      <c r="K11" s="193" t="s">
        <v>30</v>
      </c>
      <c r="L11" s="195" t="s">
        <v>42</v>
      </c>
      <c r="M11" s="152" t="s">
        <v>24</v>
      </c>
      <c r="N11" s="152"/>
      <c r="O11" s="152"/>
      <c r="P11" s="42"/>
    </row>
    <row r="12" spans="1:16" ht="31.5" customHeight="1" x14ac:dyDescent="0.15">
      <c r="A12" s="194"/>
      <c r="B12" s="196"/>
      <c r="C12" s="197" t="str">
        <f>IF(データ入力用!D11="","",VLOOKUP(A11,データ入力用!B11:F11,3,FALSE))</f>
        <v/>
      </c>
      <c r="D12" s="197"/>
      <c r="E12" s="197"/>
      <c r="F12" s="197"/>
      <c r="G12" s="201">
        <f>VLOOKUP(A11,データ入力用!B11:F11,5,FALSE)</f>
        <v>0</v>
      </c>
      <c r="H12" s="202"/>
      <c r="I12" s="203"/>
      <c r="K12" s="194"/>
      <c r="L12" s="196"/>
      <c r="M12" s="197" t="str">
        <f>IF(データ入力用!D13="","",VLOOKUP(K11,データ入力用!B13:F13,3,FALSE))</f>
        <v/>
      </c>
      <c r="N12" s="197"/>
      <c r="O12" s="197"/>
      <c r="P12" s="86" t="str">
        <f>IF(データ入力用!D13="","",VLOOKUP(K11,データ入力用!B9:F13,5,FALSE))</f>
        <v/>
      </c>
    </row>
    <row r="13" spans="1:16" ht="27" customHeight="1" x14ac:dyDescent="0.2">
      <c r="A13" s="182" t="s">
        <v>44</v>
      </c>
      <c r="B13" s="182"/>
      <c r="C13" s="182"/>
      <c r="D13" s="182"/>
      <c r="E13" s="182"/>
      <c r="F13" s="182"/>
      <c r="G13" s="182"/>
      <c r="H13" s="182"/>
      <c r="I13" s="182"/>
      <c r="J13" s="182"/>
      <c r="K13" s="182"/>
      <c r="L13" s="182"/>
      <c r="M13" s="182"/>
      <c r="N13" s="182"/>
      <c r="O13" s="182"/>
      <c r="P13" s="182"/>
    </row>
    <row r="14" spans="1:16" ht="17.25" customHeight="1" x14ac:dyDescent="0.15">
      <c r="A14" s="43"/>
      <c r="B14" s="183" t="s">
        <v>45</v>
      </c>
      <c r="C14" s="183"/>
      <c r="D14" s="183"/>
      <c r="E14" s="183"/>
      <c r="F14" s="183"/>
      <c r="G14" s="183"/>
      <c r="H14" s="44" t="s">
        <v>35</v>
      </c>
      <c r="I14" s="184" t="s">
        <v>46</v>
      </c>
      <c r="J14" s="183"/>
      <c r="K14" s="183"/>
      <c r="L14" s="183"/>
      <c r="M14" s="183"/>
      <c r="N14" s="185"/>
      <c r="O14" s="186" t="s">
        <v>47</v>
      </c>
      <c r="P14" s="185"/>
    </row>
    <row r="15" spans="1:16" ht="18.75" customHeight="1" x14ac:dyDescent="0.15">
      <c r="A15" s="149">
        <v>1</v>
      </c>
      <c r="B15" s="152" t="s">
        <v>48</v>
      </c>
      <c r="C15" s="154" t="str">
        <f>IF(ISNA(VLOOKUP("1A",データ入力用!$B$17:$J$116,3,FALSE)),"",VLOOKUP("1A",データ入力用!$B$17:$J$116,3,FALSE))</f>
        <v>福岡　太郎</v>
      </c>
      <c r="D15" s="154"/>
      <c r="E15" s="154"/>
      <c r="F15" s="154"/>
      <c r="G15" s="154"/>
      <c r="H15" s="156">
        <f>IF(ISNA(VLOOKUP("1A",データ入力用!$B$17:$J$116,4,FALSE)),"",VLOOKUP("1A",データ入力用!$B$17:$J$116,4,FALSE))</f>
        <v>1</v>
      </c>
      <c r="I15" s="158">
        <f>IF(ISNA(VLOOKUP("1A",データ入力用!$B$17:$J$116,5,FALSE)),"",VLOOKUP("1A",データ入力用!$B$17:$J$116,5,FALSE))</f>
        <v>37748</v>
      </c>
      <c r="J15" s="159" t="str">
        <f>VLOOKUP("1A",データ入力用!$B$17:$J$50,3,FALSE)</f>
        <v>福岡　太郎</v>
      </c>
      <c r="K15" s="159" t="str">
        <f>VLOOKUP("1A",データ入力用!$B$17:$J$50,3,FALSE)</f>
        <v>福岡　太郎</v>
      </c>
      <c r="L15" s="159" t="str">
        <f>VLOOKUP("1A",データ入力用!$B$17:$J$50,3,FALSE)</f>
        <v>福岡　太郎</v>
      </c>
      <c r="M15" s="160" t="str">
        <f>VLOOKUP("1A",データ入力用!$B$17:$J$50,3,FALSE)</f>
        <v>福岡　太郎</v>
      </c>
      <c r="N15" s="45" t="s">
        <v>49</v>
      </c>
      <c r="O15" s="161">
        <f>IF(ISNA(VLOOKUP("1A",データ入力用!$B$17:$J$116,9,FALSE)),"",VLOOKUP("1A",データ入力用!$B$17:$J$116,9,FALSE))</f>
        <v>123456789</v>
      </c>
      <c r="P15" s="162"/>
    </row>
    <row r="16" spans="1:16" ht="18.75" customHeight="1" x14ac:dyDescent="0.15">
      <c r="A16" s="150"/>
      <c r="B16" s="153"/>
      <c r="C16" s="155"/>
      <c r="D16" s="155"/>
      <c r="E16" s="155"/>
      <c r="F16" s="155"/>
      <c r="G16" s="155"/>
      <c r="H16" s="157"/>
      <c r="I16" s="165">
        <f>IF(ISNA(VLOOKUP("1A",データ入力用!$B$17:$J$116,6,FALSE)),"",VLOOKUP("1A",データ入力用!$B$17:$J$116,6,FALSE))</f>
        <v>43928</v>
      </c>
      <c r="J16" s="166" t="str">
        <f>VLOOKUP("1A",データ入力用!$B$17:$J$50,3,FALSE)</f>
        <v>福岡　太郎</v>
      </c>
      <c r="K16" s="166" t="str">
        <f>VLOOKUP("1A",データ入力用!$B$17:$J$50,3,FALSE)</f>
        <v>福岡　太郎</v>
      </c>
      <c r="L16" s="166" t="str">
        <f>VLOOKUP("1A",データ入力用!$B$17:$J$50,3,FALSE)</f>
        <v>福岡　太郎</v>
      </c>
      <c r="M16" s="167" t="str">
        <f>VLOOKUP("1A",データ入力用!$B$17:$J$50,3,FALSE)</f>
        <v>福岡　太郎</v>
      </c>
      <c r="N16" s="46" t="str">
        <f>IF(ISNA(VLOOKUP("1A",データ入力用!$B$17:$J$116,8,FALSE)),"",VLOOKUP("1A",データ入力用!$B$17:$J$116,8,FALSE))</f>
        <v>入学</v>
      </c>
      <c r="O16" s="163"/>
      <c r="P16" s="164"/>
    </row>
    <row r="17" spans="1:16" ht="18.75" customHeight="1" x14ac:dyDescent="0.15">
      <c r="A17" s="150"/>
      <c r="B17" s="153" t="s">
        <v>50</v>
      </c>
      <c r="C17" s="155" t="str">
        <f>IF(ISNA(VLOOKUP("1B",データ入力用!$B$17:$J$116,3,FALSE)),"",VLOOKUP("1B",データ入力用!$B$17:$J$116,3,FALSE))</f>
        <v/>
      </c>
      <c r="D17" s="155"/>
      <c r="E17" s="155"/>
      <c r="F17" s="155"/>
      <c r="G17" s="155"/>
      <c r="H17" s="157" t="str">
        <f>IF(ISNA(VLOOKUP("1B",データ入力用!$B$17:$J$116,4,FALSE)),"",VLOOKUP("1B",データ入力用!$B$17:$J$116,4,FALSE))</f>
        <v/>
      </c>
      <c r="I17" s="171" t="str">
        <f>IF(ISNA(VLOOKUP("1B",データ入力用!$B$17:$J$116,5,FALSE)),"",VLOOKUP("1B",データ入力用!$B$17:$J$116,5,FALSE))</f>
        <v/>
      </c>
      <c r="J17" s="172" t="str">
        <f>VLOOKUP("1A",データ入力用!$B$17:$J$50,3,FALSE)</f>
        <v>福岡　太郎</v>
      </c>
      <c r="K17" s="172" t="str">
        <f>VLOOKUP("1A",データ入力用!$B$17:$J$50,3,FALSE)</f>
        <v>福岡　太郎</v>
      </c>
      <c r="L17" s="172" t="str">
        <f>VLOOKUP("1A",データ入力用!$B$17:$J$50,3,FALSE)</f>
        <v>福岡　太郎</v>
      </c>
      <c r="M17" s="173" t="str">
        <f>VLOOKUP("1A",データ入力用!$B$17:$J$50,3,FALSE)</f>
        <v>福岡　太郎</v>
      </c>
      <c r="N17" s="47" t="s">
        <v>49</v>
      </c>
      <c r="O17" s="187" t="str">
        <f>IF(ISNA(VLOOKUP("1B",データ入力用!$B$17:$J$116,9,FALSE)),"",VLOOKUP("1B",データ入力用!$B$17:$J$116,9,FALSE))</f>
        <v/>
      </c>
      <c r="P17" s="188"/>
    </row>
    <row r="18" spans="1:16" ht="18.75" customHeight="1" x14ac:dyDescent="0.15">
      <c r="A18" s="151"/>
      <c r="B18" s="168"/>
      <c r="C18" s="169"/>
      <c r="D18" s="169"/>
      <c r="E18" s="169"/>
      <c r="F18" s="169"/>
      <c r="G18" s="169"/>
      <c r="H18" s="170"/>
      <c r="I18" s="176" t="str">
        <f>IF(ISNA(VLOOKUP("1B",データ入力用!$B$17:$J$116,6,FALSE)),"",VLOOKUP("1B",データ入力用!$B$17:$J$116,6,FALSE))</f>
        <v/>
      </c>
      <c r="J18" s="177" t="str">
        <f>VLOOKUP("1A",データ入力用!$B$17:$J$50,3,FALSE)</f>
        <v>福岡　太郎</v>
      </c>
      <c r="K18" s="177" t="str">
        <f>VLOOKUP("1A",データ入力用!$B$17:$J$50,3,FALSE)</f>
        <v>福岡　太郎</v>
      </c>
      <c r="L18" s="177" t="str">
        <f>VLOOKUP("1A",データ入力用!$B$17:$J$50,3,FALSE)</f>
        <v>福岡　太郎</v>
      </c>
      <c r="M18" s="178" t="str">
        <f>VLOOKUP("1A",データ入力用!$B$17:$J$50,3,FALSE)</f>
        <v>福岡　太郎</v>
      </c>
      <c r="N18" s="46" t="str">
        <f>IF(ISNA(VLOOKUP("1B",データ入力用!$B$17:$J$116,8,FALSE)),"",VLOOKUP("1B",データ入力用!$B$17:$J$116,8,FALSE))</f>
        <v/>
      </c>
      <c r="O18" s="189"/>
      <c r="P18" s="190"/>
    </row>
    <row r="19" spans="1:16" ht="18.75" customHeight="1" x14ac:dyDescent="0.15">
      <c r="A19" s="149">
        <v>2</v>
      </c>
      <c r="B19" s="152" t="s">
        <v>48</v>
      </c>
      <c r="C19" s="154" t="str">
        <f>IF(ISNA(VLOOKUP("2A",データ入力用!$B$17:$J$116,3,FALSE)),"",VLOOKUP("2A",データ入力用!$B$17:$J$116,3,FALSE))</f>
        <v/>
      </c>
      <c r="D19" s="154"/>
      <c r="E19" s="154"/>
      <c r="F19" s="154"/>
      <c r="G19" s="154"/>
      <c r="H19" s="156" t="str">
        <f>IF(ISNA(VLOOKUP("2A",データ入力用!$B$17:$J$116,4,FALSE)),"",VLOOKUP("2A",データ入力用!$B$17:$J$116,4,FALSE))</f>
        <v/>
      </c>
      <c r="I19" s="158" t="str">
        <f>IF(ISNA(VLOOKUP("2A",データ入力用!$B$17:$J$116,5,FALSE)),"",VLOOKUP("2A",データ入力用!$B$17:$J$116,5,FALSE))</f>
        <v/>
      </c>
      <c r="J19" s="159" t="str">
        <f>VLOOKUP("1A",データ入力用!$B$17:$J$50,3,FALSE)</f>
        <v>福岡　太郎</v>
      </c>
      <c r="K19" s="159" t="str">
        <f>VLOOKUP("1A",データ入力用!$B$17:$J$50,3,FALSE)</f>
        <v>福岡　太郎</v>
      </c>
      <c r="L19" s="159" t="str">
        <f>VLOOKUP("1A",データ入力用!$B$17:$J$50,3,FALSE)</f>
        <v>福岡　太郎</v>
      </c>
      <c r="M19" s="160" t="str">
        <f>VLOOKUP("1A",データ入力用!$B$17:$J$50,3,FALSE)</f>
        <v>福岡　太郎</v>
      </c>
      <c r="N19" s="45" t="s">
        <v>49</v>
      </c>
      <c r="O19" s="161" t="str">
        <f>IF(ISNA(VLOOKUP("2A",データ入力用!$B$17:$J$116,9,FALSE)),"",VLOOKUP("2A",データ入力用!$B$17:$J$116,9,FALSE))</f>
        <v/>
      </c>
      <c r="P19" s="162"/>
    </row>
    <row r="20" spans="1:16" ht="18.75" customHeight="1" x14ac:dyDescent="0.15">
      <c r="A20" s="150"/>
      <c r="B20" s="153"/>
      <c r="C20" s="155"/>
      <c r="D20" s="155"/>
      <c r="E20" s="155"/>
      <c r="F20" s="155"/>
      <c r="G20" s="155"/>
      <c r="H20" s="157"/>
      <c r="I20" s="165" t="str">
        <f>IF(ISNA(VLOOKUP("2A",データ入力用!$B$17:$J$116,6,FALSE)),"",VLOOKUP("2A",データ入力用!$B$17:$J$116,6,FALSE))</f>
        <v/>
      </c>
      <c r="J20" s="166" t="str">
        <f>VLOOKUP("1A",データ入力用!$B$17:$J$50,3,FALSE)</f>
        <v>福岡　太郎</v>
      </c>
      <c r="K20" s="166" t="str">
        <f>VLOOKUP("1A",データ入力用!$B$17:$J$50,3,FALSE)</f>
        <v>福岡　太郎</v>
      </c>
      <c r="L20" s="166" t="str">
        <f>VLOOKUP("1A",データ入力用!$B$17:$J$50,3,FALSE)</f>
        <v>福岡　太郎</v>
      </c>
      <c r="M20" s="167" t="str">
        <f>VLOOKUP("1A",データ入力用!$B$17:$J$50,3,FALSE)</f>
        <v>福岡　太郎</v>
      </c>
      <c r="N20" s="46" t="str">
        <f>IF(ISNA(VLOOKUP("2A",データ入力用!$B$17:$J$116,8,FALSE)),"",VLOOKUP("2A",データ入力用!$B$17:$J$116,8,FALSE))</f>
        <v/>
      </c>
      <c r="O20" s="163"/>
      <c r="P20" s="164"/>
    </row>
    <row r="21" spans="1:16" ht="18.75" customHeight="1" x14ac:dyDescent="0.15">
      <c r="A21" s="150"/>
      <c r="B21" s="153" t="s">
        <v>50</v>
      </c>
      <c r="C21" s="155" t="str">
        <f>IF(ISNA(VLOOKUP("2B",データ入力用!$B$17:$J$116,3,FALSE)),"",VLOOKUP("2B",データ入力用!$B$17:$J$116,3,FALSE))</f>
        <v/>
      </c>
      <c r="D21" s="155"/>
      <c r="E21" s="155"/>
      <c r="F21" s="155"/>
      <c r="G21" s="155"/>
      <c r="H21" s="157" t="str">
        <f>IF(ISNA(VLOOKUP("2B",データ入力用!$B$17:$J$116,4,FALSE)),"",VLOOKUP("2B",データ入力用!$B$17:$J$116,4,FALSE))</f>
        <v/>
      </c>
      <c r="I21" s="171" t="str">
        <f>IF(ISNA(VLOOKUP("2B",データ入力用!$B$17:$J$116,5,FALSE)),"",VLOOKUP("2B",データ入力用!$B$17:$J$116,5,FALSE))</f>
        <v/>
      </c>
      <c r="J21" s="172" t="str">
        <f>VLOOKUP("1A",データ入力用!$B$17:$J$50,3,FALSE)</f>
        <v>福岡　太郎</v>
      </c>
      <c r="K21" s="172" t="str">
        <f>VLOOKUP("1A",データ入力用!$B$17:$J$50,3,FALSE)</f>
        <v>福岡　太郎</v>
      </c>
      <c r="L21" s="172" t="str">
        <f>VLOOKUP("1A",データ入力用!$B$17:$J$50,3,FALSE)</f>
        <v>福岡　太郎</v>
      </c>
      <c r="M21" s="173" t="str">
        <f>VLOOKUP("1A",データ入力用!$B$17:$J$50,3,FALSE)</f>
        <v>福岡　太郎</v>
      </c>
      <c r="N21" s="47" t="s">
        <v>49</v>
      </c>
      <c r="O21" s="187" t="str">
        <f>IF(ISNA(VLOOKUP("2B",データ入力用!$B$17:$J$116,9,FALSE)),"",VLOOKUP("2B",データ入力用!$B$17:$J$116,9,FALSE))</f>
        <v/>
      </c>
      <c r="P21" s="188"/>
    </row>
    <row r="22" spans="1:16" ht="18.75" customHeight="1" x14ac:dyDescent="0.15">
      <c r="A22" s="151"/>
      <c r="B22" s="168"/>
      <c r="C22" s="169"/>
      <c r="D22" s="169"/>
      <c r="E22" s="169"/>
      <c r="F22" s="169"/>
      <c r="G22" s="169"/>
      <c r="H22" s="170"/>
      <c r="I22" s="176" t="str">
        <f>IF(ISNA(VLOOKUP("2B",データ入力用!$B$17:$J$116,6,FALSE)),"",VLOOKUP("2B",データ入力用!$B$17:$J$116,6,FALSE))</f>
        <v/>
      </c>
      <c r="J22" s="177" t="str">
        <f>VLOOKUP("1A",データ入力用!$B$17:$J$50,3,FALSE)</f>
        <v>福岡　太郎</v>
      </c>
      <c r="K22" s="177" t="str">
        <f>VLOOKUP("1A",データ入力用!$B$17:$J$50,3,FALSE)</f>
        <v>福岡　太郎</v>
      </c>
      <c r="L22" s="177" t="str">
        <f>VLOOKUP("1A",データ入力用!$B$17:$J$50,3,FALSE)</f>
        <v>福岡　太郎</v>
      </c>
      <c r="M22" s="178" t="str">
        <f>VLOOKUP("1A",データ入力用!$B$17:$J$50,3,FALSE)</f>
        <v>福岡　太郎</v>
      </c>
      <c r="N22" s="46" t="str">
        <f>IF(ISNA(VLOOKUP("2B",データ入力用!$B$17:$J$116,8,FALSE)),"",VLOOKUP("2B",データ入力用!$B$17:$J$116,8,FALSE))</f>
        <v/>
      </c>
      <c r="O22" s="189"/>
      <c r="P22" s="190"/>
    </row>
    <row r="23" spans="1:16" ht="18.75" customHeight="1" x14ac:dyDescent="0.15">
      <c r="A23" s="149">
        <v>3</v>
      </c>
      <c r="B23" s="152" t="s">
        <v>48</v>
      </c>
      <c r="C23" s="154" t="str">
        <f>IF(ISNA(VLOOKUP("3A",データ入力用!$B$17:$J$116,3,FALSE)),"",VLOOKUP("3A",データ入力用!$B$17:$J$116,3,FALSE))</f>
        <v/>
      </c>
      <c r="D23" s="154"/>
      <c r="E23" s="154"/>
      <c r="F23" s="154"/>
      <c r="G23" s="154"/>
      <c r="H23" s="156" t="str">
        <f>IF(ISNA(VLOOKUP("3A",データ入力用!$B$17:$J$116,4,FALSE)),"",VLOOKUP("3A",データ入力用!$B$17:$J$116,4,FALSE))</f>
        <v/>
      </c>
      <c r="I23" s="158" t="str">
        <f>IF(ISNA(VLOOKUP("3A",データ入力用!$B$17:$J$116,5,FALSE)),"",VLOOKUP("3A",データ入力用!$B$17:$J$116,5,FALSE))</f>
        <v/>
      </c>
      <c r="J23" s="159" t="str">
        <f>VLOOKUP("1A",データ入力用!$B$17:$J$50,3,FALSE)</f>
        <v>福岡　太郎</v>
      </c>
      <c r="K23" s="159" t="str">
        <f>VLOOKUP("1A",データ入力用!$B$17:$J$50,3,FALSE)</f>
        <v>福岡　太郎</v>
      </c>
      <c r="L23" s="159" t="str">
        <f>VLOOKUP("1A",データ入力用!$B$17:$J$50,3,FALSE)</f>
        <v>福岡　太郎</v>
      </c>
      <c r="M23" s="160" t="str">
        <f>VLOOKUP("1A",データ入力用!$B$17:$J$50,3,FALSE)</f>
        <v>福岡　太郎</v>
      </c>
      <c r="N23" s="45" t="s">
        <v>49</v>
      </c>
      <c r="O23" s="161" t="str">
        <f>IF(ISNA(VLOOKUP("3A",データ入力用!$B$17:$J$116,9,FALSE)),"",VLOOKUP("3A",データ入力用!$B$17:$J$116,9,FALSE))</f>
        <v/>
      </c>
      <c r="P23" s="162"/>
    </row>
    <row r="24" spans="1:16" ht="18.75" customHeight="1" x14ac:dyDescent="0.15">
      <c r="A24" s="150"/>
      <c r="B24" s="153"/>
      <c r="C24" s="155"/>
      <c r="D24" s="155"/>
      <c r="E24" s="155"/>
      <c r="F24" s="155"/>
      <c r="G24" s="155"/>
      <c r="H24" s="157"/>
      <c r="I24" s="165" t="str">
        <f>IF(ISNA(VLOOKUP("3A",データ入力用!$B$17:$J$116,6,FALSE)),"",VLOOKUP("3A",データ入力用!$B$17:$J$116,6,FALSE))</f>
        <v/>
      </c>
      <c r="J24" s="166" t="str">
        <f>VLOOKUP("1A",データ入力用!$B$17:$J$50,3,FALSE)</f>
        <v>福岡　太郎</v>
      </c>
      <c r="K24" s="166" t="str">
        <f>VLOOKUP("1A",データ入力用!$B$17:$J$50,3,FALSE)</f>
        <v>福岡　太郎</v>
      </c>
      <c r="L24" s="166" t="str">
        <f>VLOOKUP("1A",データ入力用!$B$17:$J$50,3,FALSE)</f>
        <v>福岡　太郎</v>
      </c>
      <c r="M24" s="167" t="str">
        <f>VLOOKUP("1A",データ入力用!$B$17:$J$50,3,FALSE)</f>
        <v>福岡　太郎</v>
      </c>
      <c r="N24" s="46" t="str">
        <f>IF(ISNA(VLOOKUP("3A",データ入力用!$B$17:$J$116,8,FALSE)),"",VLOOKUP("3A",データ入力用!$B$17:$J$116,8,FALSE))</f>
        <v/>
      </c>
      <c r="O24" s="163"/>
      <c r="P24" s="164"/>
    </row>
    <row r="25" spans="1:16" ht="18.75" customHeight="1" x14ac:dyDescent="0.15">
      <c r="A25" s="150"/>
      <c r="B25" s="153" t="s">
        <v>50</v>
      </c>
      <c r="C25" s="155" t="str">
        <f>IF(ISNA(VLOOKUP("3B",データ入力用!$B$17:$J$116,3,FALSE)),"",VLOOKUP("3B",データ入力用!$B$17:$J$116,3,FALSE))</f>
        <v/>
      </c>
      <c r="D25" s="155"/>
      <c r="E25" s="155"/>
      <c r="F25" s="155"/>
      <c r="G25" s="155"/>
      <c r="H25" s="157" t="str">
        <f>IF(ISNA(VLOOKUP("3B",データ入力用!$B$17:$J$116,4,FALSE)),"",VLOOKUP("3B",データ入力用!$B$17:$J$116,4,FALSE))</f>
        <v/>
      </c>
      <c r="I25" s="171" t="str">
        <f>IF(ISNA(VLOOKUP("3B",データ入力用!$B$17:$J$116,5,FALSE)),"",VLOOKUP("3B",データ入力用!$B$17:$J$116,5,FALSE))</f>
        <v/>
      </c>
      <c r="J25" s="172" t="str">
        <f>VLOOKUP("1A",データ入力用!$B$17:$J$50,3,FALSE)</f>
        <v>福岡　太郎</v>
      </c>
      <c r="K25" s="172" t="str">
        <f>VLOOKUP("1A",データ入力用!$B$17:$J$50,3,FALSE)</f>
        <v>福岡　太郎</v>
      </c>
      <c r="L25" s="172" t="str">
        <f>VLOOKUP("1A",データ入力用!$B$17:$J$50,3,FALSE)</f>
        <v>福岡　太郎</v>
      </c>
      <c r="M25" s="173" t="str">
        <f>VLOOKUP("1A",データ入力用!$B$17:$J$50,3,FALSE)</f>
        <v>福岡　太郎</v>
      </c>
      <c r="N25" s="47" t="s">
        <v>49</v>
      </c>
      <c r="O25" s="163" t="str">
        <f>IF(ISNA(VLOOKUP("3B",データ入力用!$B$17:$J$116,9,FALSE)),"",VLOOKUP("3B",データ入力用!$B$17:$J$116,9,FALSE))</f>
        <v/>
      </c>
      <c r="P25" s="164"/>
    </row>
    <row r="26" spans="1:16" ht="18.75" customHeight="1" x14ac:dyDescent="0.15">
      <c r="A26" s="151"/>
      <c r="B26" s="168"/>
      <c r="C26" s="169"/>
      <c r="D26" s="169"/>
      <c r="E26" s="169"/>
      <c r="F26" s="169"/>
      <c r="G26" s="169"/>
      <c r="H26" s="170"/>
      <c r="I26" s="176" t="str">
        <f>IF(ISNA(VLOOKUP("3B",データ入力用!$B$17:$J$116,6,FALSE)),"",VLOOKUP("3B",データ入力用!$B$17:$J$116,6,FALSE))</f>
        <v/>
      </c>
      <c r="J26" s="177" t="str">
        <f>VLOOKUP("1A",データ入力用!$B$17:$J$50,3,FALSE)</f>
        <v>福岡　太郎</v>
      </c>
      <c r="K26" s="177" t="str">
        <f>VLOOKUP("1A",データ入力用!$B$17:$J$50,3,FALSE)</f>
        <v>福岡　太郎</v>
      </c>
      <c r="L26" s="177" t="str">
        <f>VLOOKUP("1A",データ入力用!$B$17:$J$50,3,FALSE)</f>
        <v>福岡　太郎</v>
      </c>
      <c r="M26" s="178" t="str">
        <f>VLOOKUP("1A",データ入力用!$B$17:$J$50,3,FALSE)</f>
        <v>福岡　太郎</v>
      </c>
      <c r="N26" s="46" t="str">
        <f>IF(ISNA(VLOOKUP("3B",データ入力用!$B$17:$J$116,8,FALSE)),"",VLOOKUP("3B",データ入力用!$B$17:$J$116,8,FALSE))</f>
        <v/>
      </c>
      <c r="O26" s="174"/>
      <c r="P26" s="175"/>
    </row>
    <row r="27" spans="1:16" ht="18.75" customHeight="1" x14ac:dyDescent="0.15">
      <c r="A27" s="149">
        <v>4</v>
      </c>
      <c r="B27" s="152" t="s">
        <v>48</v>
      </c>
      <c r="C27" s="154" t="str">
        <f>IF(ISNA(VLOOKUP("4A",データ入力用!$B$17:$J$116,3,FALSE)),"",VLOOKUP("4A",データ入力用!$B$17:$J$116,3,FALSE))</f>
        <v/>
      </c>
      <c r="D27" s="154"/>
      <c r="E27" s="154"/>
      <c r="F27" s="154"/>
      <c r="G27" s="154"/>
      <c r="H27" s="156" t="str">
        <f>IF(ISNA(VLOOKUP("4A",データ入力用!$B$17:$J$116,4,FALSE)),"",VLOOKUP("4A",データ入力用!$B$17:$J$116,4,FALSE))</f>
        <v/>
      </c>
      <c r="I27" s="158" t="str">
        <f>IF(ISNA(VLOOKUP("4A",データ入力用!$B$17:$J$116,5,FALSE)),"",VLOOKUP("4A",データ入力用!$B$17:$J$116,5,FALSE))</f>
        <v/>
      </c>
      <c r="J27" s="159" t="str">
        <f>VLOOKUP("1A",データ入力用!$B$17:$J$50,3,FALSE)</f>
        <v>福岡　太郎</v>
      </c>
      <c r="K27" s="159" t="str">
        <f>VLOOKUP("1A",データ入力用!$B$17:$J$50,3,FALSE)</f>
        <v>福岡　太郎</v>
      </c>
      <c r="L27" s="159" t="str">
        <f>VLOOKUP("1A",データ入力用!$B$17:$J$50,3,FALSE)</f>
        <v>福岡　太郎</v>
      </c>
      <c r="M27" s="160" t="str">
        <f>VLOOKUP("1A",データ入力用!$B$17:$J$50,3,FALSE)</f>
        <v>福岡　太郎</v>
      </c>
      <c r="N27" s="45" t="s">
        <v>49</v>
      </c>
      <c r="O27" s="161" t="str">
        <f>IF(ISNA(VLOOKUP("4A",データ入力用!$B$17:$J$116,9,FALSE)),"",VLOOKUP("4A",データ入力用!$B$17:$J$116,9,FALSE))</f>
        <v/>
      </c>
      <c r="P27" s="162"/>
    </row>
    <row r="28" spans="1:16" ht="18.75" customHeight="1" x14ac:dyDescent="0.15">
      <c r="A28" s="150"/>
      <c r="B28" s="153"/>
      <c r="C28" s="155"/>
      <c r="D28" s="155"/>
      <c r="E28" s="155"/>
      <c r="F28" s="155"/>
      <c r="G28" s="155"/>
      <c r="H28" s="157"/>
      <c r="I28" s="165" t="str">
        <f>IF(ISNA(VLOOKUP("4A",データ入力用!$B$17:$J$116,6,FALSE)),"",VLOOKUP("4A",データ入力用!$B$17:$J$116,6,FALSE))</f>
        <v/>
      </c>
      <c r="J28" s="166" t="str">
        <f>VLOOKUP("1A",データ入力用!$B$17:$J$50,3,FALSE)</f>
        <v>福岡　太郎</v>
      </c>
      <c r="K28" s="166" t="str">
        <f>VLOOKUP("1A",データ入力用!$B$17:$J$50,3,FALSE)</f>
        <v>福岡　太郎</v>
      </c>
      <c r="L28" s="166" t="str">
        <f>VLOOKUP("1A",データ入力用!$B$17:$J$50,3,FALSE)</f>
        <v>福岡　太郎</v>
      </c>
      <c r="M28" s="167" t="str">
        <f>VLOOKUP("1A",データ入力用!$B$17:$J$50,3,FALSE)</f>
        <v>福岡　太郎</v>
      </c>
      <c r="N28" s="46" t="str">
        <f>IF(ISNA(VLOOKUP("4A",データ入力用!$B$17:$J$116,8,FALSE)),"",VLOOKUP("4A",データ入力用!$B$17:$J$116,8,FALSE))</f>
        <v/>
      </c>
      <c r="O28" s="163"/>
      <c r="P28" s="164"/>
    </row>
    <row r="29" spans="1:16" ht="18.75" customHeight="1" x14ac:dyDescent="0.15">
      <c r="A29" s="150"/>
      <c r="B29" s="153" t="s">
        <v>50</v>
      </c>
      <c r="C29" s="155" t="str">
        <f>IF(ISNA(VLOOKUP("4B",データ入力用!$B$17:$J$116,3,FALSE)),"",VLOOKUP("4B",データ入力用!$B$17:$J$116,3,FALSE))</f>
        <v/>
      </c>
      <c r="D29" s="155"/>
      <c r="E29" s="155"/>
      <c r="F29" s="155"/>
      <c r="G29" s="155"/>
      <c r="H29" s="157" t="str">
        <f>IF(ISNA(VLOOKUP("4B",データ入力用!$B$17:$J$116,4,FALSE)),"",VLOOKUP("4B",データ入力用!$B$17:$J$116,4,FALSE))</f>
        <v/>
      </c>
      <c r="I29" s="171" t="str">
        <f>IF(ISNA(VLOOKUP("4B",データ入力用!$B$17:$J$116,5,FALSE)),"",VLOOKUP("4B",データ入力用!$B$17:$J$116,5,FALSE))</f>
        <v/>
      </c>
      <c r="J29" s="172" t="str">
        <f>VLOOKUP("1A",データ入力用!$B$17:$J$50,3,FALSE)</f>
        <v>福岡　太郎</v>
      </c>
      <c r="K29" s="172" t="str">
        <f>VLOOKUP("1A",データ入力用!$B$17:$J$50,3,FALSE)</f>
        <v>福岡　太郎</v>
      </c>
      <c r="L29" s="172" t="str">
        <f>VLOOKUP("1A",データ入力用!$B$17:$J$50,3,FALSE)</f>
        <v>福岡　太郎</v>
      </c>
      <c r="M29" s="173" t="str">
        <f>VLOOKUP("1A",データ入力用!$B$17:$J$50,3,FALSE)</f>
        <v>福岡　太郎</v>
      </c>
      <c r="N29" s="47" t="s">
        <v>49</v>
      </c>
      <c r="O29" s="163" t="str">
        <f>IF(ISNA(VLOOKUP("4B",データ入力用!$B$17:$J$116,9,FALSE)),"",VLOOKUP("4B",データ入力用!$B$17:$J$116,9,FALSE))</f>
        <v/>
      </c>
      <c r="P29" s="164"/>
    </row>
    <row r="30" spans="1:16" ht="18.75" customHeight="1" x14ac:dyDescent="0.15">
      <c r="A30" s="151"/>
      <c r="B30" s="168"/>
      <c r="C30" s="169"/>
      <c r="D30" s="169"/>
      <c r="E30" s="169"/>
      <c r="F30" s="169"/>
      <c r="G30" s="169"/>
      <c r="H30" s="170"/>
      <c r="I30" s="176" t="str">
        <f>IF(ISNA(VLOOKUP("4B",データ入力用!$B$17:$J$116,6,FALSE)),"",VLOOKUP("4B",データ入力用!$B$17:$J$116,6,FALSE))</f>
        <v/>
      </c>
      <c r="J30" s="177" t="str">
        <f>VLOOKUP("1A",データ入力用!$B$17:$J$50,3,FALSE)</f>
        <v>福岡　太郎</v>
      </c>
      <c r="K30" s="177" t="str">
        <f>VLOOKUP("1A",データ入力用!$B$17:$J$50,3,FALSE)</f>
        <v>福岡　太郎</v>
      </c>
      <c r="L30" s="177" t="str">
        <f>VLOOKUP("1A",データ入力用!$B$17:$J$50,3,FALSE)</f>
        <v>福岡　太郎</v>
      </c>
      <c r="M30" s="178" t="str">
        <f>VLOOKUP("1A",データ入力用!$B$17:$J$50,3,FALSE)</f>
        <v>福岡　太郎</v>
      </c>
      <c r="N30" s="46" t="str">
        <f>IF(ISNA(VLOOKUP("4B",データ入力用!$B$17:$J$116,8,FALSE)),"",VLOOKUP("4B",データ入力用!$B$17:$J$116,8,FALSE))</f>
        <v/>
      </c>
      <c r="O30" s="174"/>
      <c r="P30" s="175"/>
    </row>
    <row r="31" spans="1:16" ht="18.75" customHeight="1" x14ac:dyDescent="0.15">
      <c r="A31" s="149">
        <v>5</v>
      </c>
      <c r="B31" s="152" t="s">
        <v>48</v>
      </c>
      <c r="C31" s="154" t="str">
        <f>IF(ISNA(VLOOKUP("5A",データ入力用!$B$17:$J$116,3,FALSE)),"",VLOOKUP("5A",データ入力用!$B$17:$J$116,3,FALSE))</f>
        <v/>
      </c>
      <c r="D31" s="154"/>
      <c r="E31" s="154"/>
      <c r="F31" s="154"/>
      <c r="G31" s="154"/>
      <c r="H31" s="156" t="str">
        <f>IF(ISNA(VLOOKUP("5A",データ入力用!$B$17:$J$116,4,FALSE)),"",VLOOKUP("5A",データ入力用!$B$17:$J$116,4,FALSE))</f>
        <v/>
      </c>
      <c r="I31" s="158" t="str">
        <f>IF(ISNA(VLOOKUP("5A",データ入力用!$B$17:$J$116,5,FALSE)),"",VLOOKUP("5A",データ入力用!$B$17:$J$116,5,FALSE))</f>
        <v/>
      </c>
      <c r="J31" s="159" t="str">
        <f>VLOOKUP("1A",データ入力用!$B$17:$J$50,3,FALSE)</f>
        <v>福岡　太郎</v>
      </c>
      <c r="K31" s="159" t="str">
        <f>VLOOKUP("1A",データ入力用!$B$17:$J$50,3,FALSE)</f>
        <v>福岡　太郎</v>
      </c>
      <c r="L31" s="159" t="str">
        <f>VLOOKUP("1A",データ入力用!$B$17:$J$50,3,FALSE)</f>
        <v>福岡　太郎</v>
      </c>
      <c r="M31" s="160" t="str">
        <f>VLOOKUP("1A",データ入力用!$B$17:$J$50,3,FALSE)</f>
        <v>福岡　太郎</v>
      </c>
      <c r="N31" s="45" t="s">
        <v>49</v>
      </c>
      <c r="O31" s="161" t="str">
        <f>IF(ISNA(VLOOKUP("5A",データ入力用!$B$17:$J$116,9,FALSE)),"",VLOOKUP("5A",データ入力用!$B$17:$J$116,9,FALSE))</f>
        <v/>
      </c>
      <c r="P31" s="162"/>
    </row>
    <row r="32" spans="1:16" ht="18.75" customHeight="1" x14ac:dyDescent="0.15">
      <c r="A32" s="150"/>
      <c r="B32" s="153"/>
      <c r="C32" s="155"/>
      <c r="D32" s="155"/>
      <c r="E32" s="155"/>
      <c r="F32" s="155"/>
      <c r="G32" s="155"/>
      <c r="H32" s="157"/>
      <c r="I32" s="165" t="str">
        <f>IF(ISNA(VLOOKUP("5A",データ入力用!$B$17:$J$116,6,FALSE)),"",VLOOKUP("5A",データ入力用!$B$17:$J$116,6,FALSE))</f>
        <v/>
      </c>
      <c r="J32" s="166" t="str">
        <f>VLOOKUP("1A",データ入力用!$B$17:$J$50,3,FALSE)</f>
        <v>福岡　太郎</v>
      </c>
      <c r="K32" s="166" t="str">
        <f>VLOOKUP("1A",データ入力用!$B$17:$J$50,3,FALSE)</f>
        <v>福岡　太郎</v>
      </c>
      <c r="L32" s="166" t="str">
        <f>VLOOKUP("1A",データ入力用!$B$17:$J$50,3,FALSE)</f>
        <v>福岡　太郎</v>
      </c>
      <c r="M32" s="167" t="str">
        <f>VLOOKUP("1A",データ入力用!$B$17:$J$50,3,FALSE)</f>
        <v>福岡　太郎</v>
      </c>
      <c r="N32" s="46" t="str">
        <f>IF(ISNA(VLOOKUP("5A",データ入力用!$B$17:$J$116,8,FALSE)),"",VLOOKUP("5A",データ入力用!$B$17:$J$116,8,FALSE))</f>
        <v/>
      </c>
      <c r="O32" s="163"/>
      <c r="P32" s="164"/>
    </row>
    <row r="33" spans="1:16" ht="18.75" customHeight="1" x14ac:dyDescent="0.15">
      <c r="A33" s="150"/>
      <c r="B33" s="153" t="s">
        <v>50</v>
      </c>
      <c r="C33" s="155" t="str">
        <f>IF(ISNA(VLOOKUP("5B",データ入力用!$B$17:$J$116,3,FALSE)),"",VLOOKUP("5B",データ入力用!$B$17:$J$116,3,FALSE))</f>
        <v/>
      </c>
      <c r="D33" s="155"/>
      <c r="E33" s="155"/>
      <c r="F33" s="155"/>
      <c r="G33" s="155"/>
      <c r="H33" s="157" t="str">
        <f>IF(ISNA(VLOOKUP("5B",データ入力用!$B$17:$J$116,4,FALSE)),"",VLOOKUP("5B",データ入力用!$B$17:$J$116,4,FALSE))</f>
        <v/>
      </c>
      <c r="I33" s="171" t="str">
        <f>IF(ISNA(VLOOKUP("5B",データ入力用!$B$17:$J$116,5,FALSE)),"",VLOOKUP("5B",データ入力用!$B$17:$J$116,5,FALSE))</f>
        <v/>
      </c>
      <c r="J33" s="172" t="str">
        <f>VLOOKUP("1A",データ入力用!$B$17:$J$50,3,FALSE)</f>
        <v>福岡　太郎</v>
      </c>
      <c r="K33" s="172" t="str">
        <f>VLOOKUP("1A",データ入力用!$B$17:$J$50,3,FALSE)</f>
        <v>福岡　太郎</v>
      </c>
      <c r="L33" s="172" t="str">
        <f>VLOOKUP("1A",データ入力用!$B$17:$J$50,3,FALSE)</f>
        <v>福岡　太郎</v>
      </c>
      <c r="M33" s="173" t="str">
        <f>VLOOKUP("1A",データ入力用!$B$17:$J$50,3,FALSE)</f>
        <v>福岡　太郎</v>
      </c>
      <c r="N33" s="47" t="s">
        <v>49</v>
      </c>
      <c r="O33" s="163" t="str">
        <f>IF(ISNA(VLOOKUP("5B",データ入力用!$B$17:$J$116,9,FALSE)),"",VLOOKUP("5B",データ入力用!$B$17:$J$116,9,FALSE))</f>
        <v/>
      </c>
      <c r="P33" s="164"/>
    </row>
    <row r="34" spans="1:16" ht="18.75" customHeight="1" x14ac:dyDescent="0.15">
      <c r="A34" s="151"/>
      <c r="B34" s="168"/>
      <c r="C34" s="169"/>
      <c r="D34" s="169"/>
      <c r="E34" s="169"/>
      <c r="F34" s="169"/>
      <c r="G34" s="169"/>
      <c r="H34" s="170"/>
      <c r="I34" s="176" t="str">
        <f>IF(ISNA(VLOOKUP("5B",データ入力用!$B$17:$J$116,6,FALSE)),"",VLOOKUP("5B",データ入力用!$B$17:$J$116,6,FALSE))</f>
        <v/>
      </c>
      <c r="J34" s="177" t="str">
        <f>VLOOKUP("1A",データ入力用!$B$17:$J$50,3,FALSE)</f>
        <v>福岡　太郎</v>
      </c>
      <c r="K34" s="177" t="str">
        <f>VLOOKUP("1A",データ入力用!$B$17:$J$50,3,FALSE)</f>
        <v>福岡　太郎</v>
      </c>
      <c r="L34" s="177" t="str">
        <f>VLOOKUP("1A",データ入力用!$B$17:$J$50,3,FALSE)</f>
        <v>福岡　太郎</v>
      </c>
      <c r="M34" s="178" t="str">
        <f>VLOOKUP("1A",データ入力用!$B$17:$J$50,3,FALSE)</f>
        <v>福岡　太郎</v>
      </c>
      <c r="N34" s="46" t="str">
        <f>IF(ISNA(VLOOKUP("5B",データ入力用!$B$17:$J$116,8,FALSE)),"",VLOOKUP("5B",データ入力用!$B$17:$J$116,8,FALSE))</f>
        <v/>
      </c>
      <c r="O34" s="174"/>
      <c r="P34" s="175"/>
    </row>
    <row r="35" spans="1:16" ht="18.75" customHeight="1" x14ac:dyDescent="0.15">
      <c r="A35" s="149">
        <v>6</v>
      </c>
      <c r="B35" s="152" t="s">
        <v>48</v>
      </c>
      <c r="C35" s="154" t="str">
        <f>IF(ISNA(VLOOKUP("6A",データ入力用!$B$17:$J$116,3,FALSE)),"",VLOOKUP("6A",データ入力用!$B$17:$J$116,3,FALSE))</f>
        <v/>
      </c>
      <c r="D35" s="154"/>
      <c r="E35" s="154"/>
      <c r="F35" s="154"/>
      <c r="G35" s="154"/>
      <c r="H35" s="156" t="str">
        <f>IF(ISNA(VLOOKUP("6A",データ入力用!$B$17:$J$116,4,FALSE)),"",VLOOKUP("6A",データ入力用!$B$17:$J$116,4,FALSE))</f>
        <v/>
      </c>
      <c r="I35" s="158" t="str">
        <f>IF(ISNA(VLOOKUP("6A",データ入力用!$B$17:$J$116,5,FALSE)),"",VLOOKUP("6A",データ入力用!$B$17:$J$116,5,FALSE))</f>
        <v/>
      </c>
      <c r="J35" s="159" t="str">
        <f>VLOOKUP("1A",データ入力用!$B$17:$J$50,3,FALSE)</f>
        <v>福岡　太郎</v>
      </c>
      <c r="K35" s="159" t="str">
        <f>VLOOKUP("1A",データ入力用!$B$17:$J$50,3,FALSE)</f>
        <v>福岡　太郎</v>
      </c>
      <c r="L35" s="159" t="str">
        <f>VLOOKUP("1A",データ入力用!$B$17:$J$50,3,FALSE)</f>
        <v>福岡　太郎</v>
      </c>
      <c r="M35" s="160" t="str">
        <f>VLOOKUP("1A",データ入力用!$B$17:$J$50,3,FALSE)</f>
        <v>福岡　太郎</v>
      </c>
      <c r="N35" s="45" t="s">
        <v>49</v>
      </c>
      <c r="O35" s="161" t="str">
        <f>IF(ISNA(VLOOKUP("6A",データ入力用!$B$17:$J$116,9,FALSE)),"",VLOOKUP("6A",データ入力用!$B$17:$J$116,9,FALSE))</f>
        <v/>
      </c>
      <c r="P35" s="162"/>
    </row>
    <row r="36" spans="1:16" ht="18.75" customHeight="1" x14ac:dyDescent="0.15">
      <c r="A36" s="150"/>
      <c r="B36" s="153"/>
      <c r="C36" s="155"/>
      <c r="D36" s="155"/>
      <c r="E36" s="155"/>
      <c r="F36" s="155"/>
      <c r="G36" s="155"/>
      <c r="H36" s="157"/>
      <c r="I36" s="165" t="str">
        <f>IF(ISNA(VLOOKUP("6A",データ入力用!$B$17:$J$116,6,FALSE)),"",VLOOKUP("6A",データ入力用!$B$17:$J$116,6,FALSE))</f>
        <v/>
      </c>
      <c r="J36" s="166" t="str">
        <f>VLOOKUP("1A",データ入力用!$B$17:$J$50,3,FALSE)</f>
        <v>福岡　太郎</v>
      </c>
      <c r="K36" s="166" t="str">
        <f>VLOOKUP("1A",データ入力用!$B$17:$J$50,3,FALSE)</f>
        <v>福岡　太郎</v>
      </c>
      <c r="L36" s="166" t="str">
        <f>VLOOKUP("1A",データ入力用!$B$17:$J$50,3,FALSE)</f>
        <v>福岡　太郎</v>
      </c>
      <c r="M36" s="167" t="str">
        <f>VLOOKUP("1A",データ入力用!$B$17:$J$50,3,FALSE)</f>
        <v>福岡　太郎</v>
      </c>
      <c r="N36" s="46" t="str">
        <f>IF(ISNA(VLOOKUP("6A",データ入力用!$B$17:$J$116,8,FALSE)),"",VLOOKUP("6A",データ入力用!$B$17:$J$116,8,FALSE))</f>
        <v/>
      </c>
      <c r="O36" s="163"/>
      <c r="P36" s="164"/>
    </row>
    <row r="37" spans="1:16" ht="18.75" customHeight="1" x14ac:dyDescent="0.15">
      <c r="A37" s="150"/>
      <c r="B37" s="153" t="s">
        <v>50</v>
      </c>
      <c r="C37" s="155" t="str">
        <f>IF(ISNA(VLOOKUP("6B",データ入力用!$B$17:$J$116,3,FALSE)),"",VLOOKUP("6B",データ入力用!$B$17:$J$116,3,FALSE))</f>
        <v/>
      </c>
      <c r="D37" s="155"/>
      <c r="E37" s="155"/>
      <c r="F37" s="155"/>
      <c r="G37" s="155"/>
      <c r="H37" s="157" t="str">
        <f>IF(ISNA(VLOOKUP("6B",データ入力用!$B$17:$J$116,4,FALSE)),"",VLOOKUP("6B",データ入力用!$B$17:$J$116,4,FALSE))</f>
        <v/>
      </c>
      <c r="I37" s="171" t="str">
        <f>IF(ISNA(VLOOKUP("6B",データ入力用!$B$17:$J$116,5,FALSE)),"",VLOOKUP("6B",データ入力用!$B$17:$J$116,5,FALSE))</f>
        <v/>
      </c>
      <c r="J37" s="172" t="str">
        <f>VLOOKUP("1A",データ入力用!$B$17:$J$50,3,FALSE)</f>
        <v>福岡　太郎</v>
      </c>
      <c r="K37" s="172" t="str">
        <f>VLOOKUP("1A",データ入力用!$B$17:$J$50,3,FALSE)</f>
        <v>福岡　太郎</v>
      </c>
      <c r="L37" s="172" t="str">
        <f>VLOOKUP("1A",データ入力用!$B$17:$J$50,3,FALSE)</f>
        <v>福岡　太郎</v>
      </c>
      <c r="M37" s="173" t="str">
        <f>VLOOKUP("1A",データ入力用!$B$17:$J$50,3,FALSE)</f>
        <v>福岡　太郎</v>
      </c>
      <c r="N37" s="47" t="s">
        <v>49</v>
      </c>
      <c r="O37" s="163" t="str">
        <f>IF(ISNA(VLOOKUP("6B",データ入力用!$B$17:$J$116,9,FALSE)),"",VLOOKUP("6B",データ入力用!$B$17:$J$116,9,FALSE))</f>
        <v/>
      </c>
      <c r="P37" s="164"/>
    </row>
    <row r="38" spans="1:16" ht="18.75" customHeight="1" x14ac:dyDescent="0.15">
      <c r="A38" s="151"/>
      <c r="B38" s="168"/>
      <c r="C38" s="169"/>
      <c r="D38" s="169"/>
      <c r="E38" s="169"/>
      <c r="F38" s="169"/>
      <c r="G38" s="169"/>
      <c r="H38" s="170"/>
      <c r="I38" s="176" t="str">
        <f>IF(ISNA(VLOOKUP("6B",データ入力用!$B$17:$J$116,6,FALSE)),"",VLOOKUP("6B",データ入力用!$B$17:$J$116,6,FALSE))</f>
        <v/>
      </c>
      <c r="J38" s="177" t="str">
        <f>VLOOKUP("1A",データ入力用!$B$17:$J$50,3,FALSE)</f>
        <v>福岡　太郎</v>
      </c>
      <c r="K38" s="177" t="str">
        <f>VLOOKUP("1A",データ入力用!$B$17:$J$50,3,FALSE)</f>
        <v>福岡　太郎</v>
      </c>
      <c r="L38" s="177" t="str">
        <f>VLOOKUP("1A",データ入力用!$B$17:$J$50,3,FALSE)</f>
        <v>福岡　太郎</v>
      </c>
      <c r="M38" s="178" t="str">
        <f>VLOOKUP("1A",データ入力用!$B$17:$J$50,3,FALSE)</f>
        <v>福岡　太郎</v>
      </c>
      <c r="N38" s="48" t="str">
        <f>IF(ISNA(VLOOKUP("6B",データ入力用!$B$17:$J$116,8,FALSE)),"",VLOOKUP("6B",データ入力用!$B$17:$J$116,8,FALSE))</f>
        <v/>
      </c>
      <c r="O38" s="174"/>
      <c r="P38" s="175"/>
    </row>
    <row r="39" spans="1:16" ht="18.75" customHeight="1" x14ac:dyDescent="0.15">
      <c r="A39" s="149">
        <v>7</v>
      </c>
      <c r="B39" s="152" t="s">
        <v>48</v>
      </c>
      <c r="C39" s="154" t="str">
        <f>IF(ISNA(VLOOKUP("7A",データ入力用!$B$17:$J$116,3,FALSE)),"",VLOOKUP("7A",データ入力用!$B$17:$J$116,3,FALSE))</f>
        <v/>
      </c>
      <c r="D39" s="154"/>
      <c r="E39" s="154"/>
      <c r="F39" s="154"/>
      <c r="G39" s="154"/>
      <c r="H39" s="156" t="str">
        <f>IF(ISNA(VLOOKUP("7A",データ入力用!$B$17:$J$116,4,FALSE)),"",VLOOKUP("7A",データ入力用!$B$17:$J$116,4,FALSE))</f>
        <v/>
      </c>
      <c r="I39" s="158" t="str">
        <f>IF(ISNA(VLOOKUP("7A",データ入力用!$B$17:$J$116,5,FALSE)),"",VLOOKUP("7A",データ入力用!$B$17:$J$116,5,FALSE))</f>
        <v/>
      </c>
      <c r="J39" s="159" t="str">
        <f>VLOOKUP("1A",データ入力用!$B$17:$J$50,3,FALSE)</f>
        <v>福岡　太郎</v>
      </c>
      <c r="K39" s="159" t="str">
        <f>VLOOKUP("1A",データ入力用!$B$17:$J$50,3,FALSE)</f>
        <v>福岡　太郎</v>
      </c>
      <c r="L39" s="159" t="str">
        <f>VLOOKUP("1A",データ入力用!$B$17:$J$50,3,FALSE)</f>
        <v>福岡　太郎</v>
      </c>
      <c r="M39" s="160" t="str">
        <f>VLOOKUP("1A",データ入力用!$B$17:$J$50,3,FALSE)</f>
        <v>福岡　太郎</v>
      </c>
      <c r="N39" s="45" t="s">
        <v>49</v>
      </c>
      <c r="O39" s="161" t="str">
        <f>IF(ISNA(VLOOKUP("7A",データ入力用!$B$17:$J$116,9,FALSE)),"",VLOOKUP("7A",データ入力用!$B$17:$J$116,9,FALSE))</f>
        <v/>
      </c>
      <c r="P39" s="162"/>
    </row>
    <row r="40" spans="1:16" ht="18.75" customHeight="1" x14ac:dyDescent="0.15">
      <c r="A40" s="150"/>
      <c r="B40" s="153"/>
      <c r="C40" s="155"/>
      <c r="D40" s="155"/>
      <c r="E40" s="155"/>
      <c r="F40" s="155"/>
      <c r="G40" s="155"/>
      <c r="H40" s="157"/>
      <c r="I40" s="165" t="str">
        <f>IF(ISNA(VLOOKUP("7A",データ入力用!$B$17:$J$116,6,FALSE)),"",VLOOKUP("7A",データ入力用!$B$17:$J$116,6,FALSE))</f>
        <v/>
      </c>
      <c r="J40" s="166" t="str">
        <f>VLOOKUP("1A",データ入力用!$B$17:$J$50,3,FALSE)</f>
        <v>福岡　太郎</v>
      </c>
      <c r="K40" s="166" t="str">
        <f>VLOOKUP("1A",データ入力用!$B$17:$J$50,3,FALSE)</f>
        <v>福岡　太郎</v>
      </c>
      <c r="L40" s="166" t="str">
        <f>VLOOKUP("1A",データ入力用!$B$17:$J$50,3,FALSE)</f>
        <v>福岡　太郎</v>
      </c>
      <c r="M40" s="167" t="str">
        <f>VLOOKUP("1A",データ入力用!$B$17:$J$50,3,FALSE)</f>
        <v>福岡　太郎</v>
      </c>
      <c r="N40" s="46" t="str">
        <f>IF(ISNA(VLOOKUP("7A",データ入力用!$B$17:$J$116,8,FALSE)),"",VLOOKUP("7A",データ入力用!$B$17:$J$116,8,FALSE))</f>
        <v/>
      </c>
      <c r="O40" s="163"/>
      <c r="P40" s="164"/>
    </row>
    <row r="41" spans="1:16" ht="18.75" customHeight="1" x14ac:dyDescent="0.15">
      <c r="A41" s="150"/>
      <c r="B41" s="153" t="s">
        <v>50</v>
      </c>
      <c r="C41" s="155" t="str">
        <f>IF(ISNA(VLOOKUP("7B",データ入力用!$B$17:$J$116,3,FALSE)),"",VLOOKUP("7B",データ入力用!$B$17:$J$116,3,FALSE))</f>
        <v/>
      </c>
      <c r="D41" s="155"/>
      <c r="E41" s="155"/>
      <c r="F41" s="155"/>
      <c r="G41" s="155"/>
      <c r="H41" s="157" t="str">
        <f>IF(ISNA(VLOOKUP("7B",データ入力用!$B$17:$J$116,4,FALSE)),"",VLOOKUP("7B",データ入力用!$B$17:$J$116,4,FALSE))</f>
        <v/>
      </c>
      <c r="I41" s="171" t="str">
        <f>IF(ISNA(VLOOKUP("7B",データ入力用!$B$17:$J$116,5,FALSE)),"",VLOOKUP("7B",データ入力用!$B$17:$J$116,5,FALSE))</f>
        <v/>
      </c>
      <c r="J41" s="172" t="str">
        <f>VLOOKUP("1A",データ入力用!$B$17:$J$50,3,FALSE)</f>
        <v>福岡　太郎</v>
      </c>
      <c r="K41" s="172" t="str">
        <f>VLOOKUP("1A",データ入力用!$B$17:$J$50,3,FALSE)</f>
        <v>福岡　太郎</v>
      </c>
      <c r="L41" s="172" t="str">
        <f>VLOOKUP("1A",データ入力用!$B$17:$J$50,3,FALSE)</f>
        <v>福岡　太郎</v>
      </c>
      <c r="M41" s="173" t="str">
        <f>VLOOKUP("1A",データ入力用!$B$17:$J$50,3,FALSE)</f>
        <v>福岡　太郎</v>
      </c>
      <c r="N41" s="47" t="s">
        <v>49</v>
      </c>
      <c r="O41" s="163" t="str">
        <f>IF(ISNA(VLOOKUP("7B",データ入力用!$B$17:$J$116,9,FALSE)),"",VLOOKUP("7B",データ入力用!$B$17:$J$116,9,FALSE))</f>
        <v/>
      </c>
      <c r="P41" s="164"/>
    </row>
    <row r="42" spans="1:16" ht="18.75" customHeight="1" x14ac:dyDescent="0.15">
      <c r="A42" s="151"/>
      <c r="B42" s="168"/>
      <c r="C42" s="169"/>
      <c r="D42" s="169"/>
      <c r="E42" s="169"/>
      <c r="F42" s="169"/>
      <c r="G42" s="169"/>
      <c r="H42" s="170"/>
      <c r="I42" s="176" t="str">
        <f>IF(ISNA(VLOOKUP("7B",データ入力用!$B$17:$J$116,6,FALSE)),"",VLOOKUP("7B",データ入力用!$B$17:$J$116,6,FALSE))</f>
        <v/>
      </c>
      <c r="J42" s="177" t="str">
        <f>VLOOKUP("1A",データ入力用!$B$17:$J$50,3,FALSE)</f>
        <v>福岡　太郎</v>
      </c>
      <c r="K42" s="177" t="str">
        <f>VLOOKUP("1A",データ入力用!$B$17:$J$50,3,FALSE)</f>
        <v>福岡　太郎</v>
      </c>
      <c r="L42" s="177" t="str">
        <f>VLOOKUP("1A",データ入力用!$B$17:$J$50,3,FALSE)</f>
        <v>福岡　太郎</v>
      </c>
      <c r="M42" s="178" t="str">
        <f>VLOOKUP("1A",データ入力用!$B$17:$J$50,3,FALSE)</f>
        <v>福岡　太郎</v>
      </c>
      <c r="N42" s="48" t="str">
        <f>IF(ISNA(VLOOKUP("7B",データ入力用!$B$17:$J$116,8,FALSE)),"",VLOOKUP("7B",データ入力用!$B$17:$J$116,8,FALSE))</f>
        <v/>
      </c>
      <c r="O42" s="174"/>
      <c r="P42" s="175"/>
    </row>
    <row r="43" spans="1:16" ht="18.75" customHeight="1" x14ac:dyDescent="0.15">
      <c r="A43" s="149">
        <v>8</v>
      </c>
      <c r="B43" s="152" t="s">
        <v>48</v>
      </c>
      <c r="C43" s="154" t="str">
        <f>IF(ISNA(VLOOKUP("8A",データ入力用!$B$17:$J$116,3,FALSE)),"",VLOOKUP("8A",データ入力用!$B$17:$J$116,3,FALSE))</f>
        <v/>
      </c>
      <c r="D43" s="154"/>
      <c r="E43" s="154"/>
      <c r="F43" s="154"/>
      <c r="G43" s="154"/>
      <c r="H43" s="156" t="str">
        <f>IF(ISNA(VLOOKUP("8A",データ入力用!$B$17:$J$116,4,FALSE)),"",VLOOKUP("8A",データ入力用!$B$17:$J$116,4,FALSE))</f>
        <v/>
      </c>
      <c r="I43" s="158" t="str">
        <f>IF(ISNA(VLOOKUP("8A",データ入力用!$B$17:$J$116,5,FALSE)),"",VLOOKUP("8A",データ入力用!$B$17:$J$116,5,FALSE))</f>
        <v/>
      </c>
      <c r="J43" s="159" t="str">
        <f>VLOOKUP("1A",データ入力用!$B$17:$J$50,3,FALSE)</f>
        <v>福岡　太郎</v>
      </c>
      <c r="K43" s="159" t="str">
        <f>VLOOKUP("1A",データ入力用!$B$17:$J$50,3,FALSE)</f>
        <v>福岡　太郎</v>
      </c>
      <c r="L43" s="159" t="str">
        <f>VLOOKUP("1A",データ入力用!$B$17:$J$50,3,FALSE)</f>
        <v>福岡　太郎</v>
      </c>
      <c r="M43" s="160" t="str">
        <f>VLOOKUP("1A",データ入力用!$B$17:$J$50,3,FALSE)</f>
        <v>福岡　太郎</v>
      </c>
      <c r="N43" s="45" t="s">
        <v>49</v>
      </c>
      <c r="O43" s="161" t="str">
        <f>IF(ISNA(VLOOKUP("8A",データ入力用!$B$17:$J$116,9,FALSE)),"",VLOOKUP("8A",データ入力用!$B$17:$J$116,9,FALSE))</f>
        <v/>
      </c>
      <c r="P43" s="162"/>
    </row>
    <row r="44" spans="1:16" ht="18.75" customHeight="1" x14ac:dyDescent="0.15">
      <c r="A44" s="150"/>
      <c r="B44" s="153"/>
      <c r="C44" s="155"/>
      <c r="D44" s="155"/>
      <c r="E44" s="155"/>
      <c r="F44" s="155"/>
      <c r="G44" s="155"/>
      <c r="H44" s="157"/>
      <c r="I44" s="165" t="str">
        <f>IF(ISNA(VLOOKUP("8A",データ入力用!$B$17:$J$116,6,FALSE)),"",VLOOKUP("8A",データ入力用!$B$17:$J$116,6,FALSE))</f>
        <v/>
      </c>
      <c r="J44" s="166" t="str">
        <f>VLOOKUP("1A",データ入力用!$B$17:$J$50,3,FALSE)</f>
        <v>福岡　太郎</v>
      </c>
      <c r="K44" s="166" t="str">
        <f>VLOOKUP("1A",データ入力用!$B$17:$J$50,3,FALSE)</f>
        <v>福岡　太郎</v>
      </c>
      <c r="L44" s="166" t="str">
        <f>VLOOKUP("1A",データ入力用!$B$17:$J$50,3,FALSE)</f>
        <v>福岡　太郎</v>
      </c>
      <c r="M44" s="167" t="str">
        <f>VLOOKUP("1A",データ入力用!$B$17:$J$50,3,FALSE)</f>
        <v>福岡　太郎</v>
      </c>
      <c r="N44" s="46" t="str">
        <f>IF(ISNA(VLOOKUP("8A",データ入力用!$B$17:$J$116,8,FALSE)),"",VLOOKUP("8A",データ入力用!$B$17:$J$116,8,FALSE))</f>
        <v/>
      </c>
      <c r="O44" s="163"/>
      <c r="P44" s="164"/>
    </row>
    <row r="45" spans="1:16" ht="18.75" customHeight="1" x14ac:dyDescent="0.15">
      <c r="A45" s="150"/>
      <c r="B45" s="153" t="s">
        <v>50</v>
      </c>
      <c r="C45" s="155" t="str">
        <f>IF(ISNA(VLOOKUP("8B",データ入力用!$B$17:$J$116,3,FALSE)),"",VLOOKUP("8B",データ入力用!$B$17:$J$116,3,FALSE))</f>
        <v/>
      </c>
      <c r="D45" s="155"/>
      <c r="E45" s="155"/>
      <c r="F45" s="155"/>
      <c r="G45" s="155"/>
      <c r="H45" s="157" t="str">
        <f>IF(ISNA(VLOOKUP("8B",データ入力用!$B$17:$J$116,4,FALSE)),"",VLOOKUP("8B",データ入力用!$B$17:$J$116,4,FALSE))</f>
        <v/>
      </c>
      <c r="I45" s="171" t="str">
        <f>IF(ISNA(VLOOKUP("8B",データ入力用!$B$17:$J$116,5,FALSE)),"",VLOOKUP("8B",データ入力用!$B$17:$J$116,5,FALSE))</f>
        <v/>
      </c>
      <c r="J45" s="172" t="str">
        <f>VLOOKUP("1A",データ入力用!$B$17:$J$50,3,FALSE)</f>
        <v>福岡　太郎</v>
      </c>
      <c r="K45" s="172" t="str">
        <f>VLOOKUP("1A",データ入力用!$B$17:$J$50,3,FALSE)</f>
        <v>福岡　太郎</v>
      </c>
      <c r="L45" s="172" t="str">
        <f>VLOOKUP("1A",データ入力用!$B$17:$J$50,3,FALSE)</f>
        <v>福岡　太郎</v>
      </c>
      <c r="M45" s="173" t="str">
        <f>VLOOKUP("1A",データ入力用!$B$17:$J$50,3,FALSE)</f>
        <v>福岡　太郎</v>
      </c>
      <c r="N45" s="47" t="s">
        <v>49</v>
      </c>
      <c r="O45" s="163" t="str">
        <f>IF(ISNA(VLOOKUP("8B",データ入力用!$B$17:$J$116,9,FALSE)),"",VLOOKUP("8B",データ入力用!$B$17:$J$116,9,FALSE))</f>
        <v/>
      </c>
      <c r="P45" s="164"/>
    </row>
    <row r="46" spans="1:16" ht="18.75" customHeight="1" thickBot="1" x14ac:dyDescent="0.2">
      <c r="A46" s="151"/>
      <c r="B46" s="168"/>
      <c r="C46" s="169"/>
      <c r="D46" s="169"/>
      <c r="E46" s="169"/>
      <c r="F46" s="169"/>
      <c r="G46" s="169"/>
      <c r="H46" s="170"/>
      <c r="I46" s="176" t="str">
        <f>IF(ISNA(VLOOKUP("8B",データ入力用!$B$17:$J$116,6,FALSE)),"",VLOOKUP("8B",データ入力用!$B$17:$J$116,6,FALSE))</f>
        <v/>
      </c>
      <c r="J46" s="177" t="str">
        <f>VLOOKUP("1A",データ入力用!$B$17:$J$50,3,FALSE)</f>
        <v>福岡　太郎</v>
      </c>
      <c r="K46" s="177" t="str">
        <f>VLOOKUP("1A",データ入力用!$B$17:$J$50,3,FALSE)</f>
        <v>福岡　太郎</v>
      </c>
      <c r="L46" s="177" t="str">
        <f>VLOOKUP("1A",データ入力用!$B$17:$J$50,3,FALSE)</f>
        <v>福岡　太郎</v>
      </c>
      <c r="M46" s="178" t="str">
        <f>VLOOKUP("1A",データ入力用!$B$17:$J$50,3,FALSE)</f>
        <v>福岡　太郎</v>
      </c>
      <c r="N46" s="48" t="str">
        <f>IF(ISNA(VLOOKUP("8B",データ入力用!$B$17:$J$116,8,FALSE)),"",VLOOKUP("8B",データ入力用!$B$17:$J$116,8,FALSE))</f>
        <v/>
      </c>
      <c r="O46" s="174"/>
      <c r="P46" s="175"/>
    </row>
    <row r="47" spans="1:16" ht="9" customHeight="1" x14ac:dyDescent="0.15"/>
    <row r="48" spans="1:16" ht="13.5" customHeight="1" x14ac:dyDescent="0.15">
      <c r="B48" s="233" t="s">
        <v>52</v>
      </c>
      <c r="C48" s="233"/>
      <c r="D48" s="233"/>
      <c r="E48" s="233"/>
      <c r="F48" s="233"/>
      <c r="G48" s="233"/>
      <c r="H48" s="233"/>
      <c r="I48" s="233"/>
      <c r="J48" s="233"/>
      <c r="K48" s="233"/>
      <c r="L48" s="233"/>
      <c r="M48" s="233"/>
      <c r="N48" s="233"/>
      <c r="O48" s="233"/>
      <c r="P48" s="233"/>
    </row>
    <row r="49" spans="1:256" x14ac:dyDescent="0.15">
      <c r="B49" s="233"/>
      <c r="C49" s="233"/>
      <c r="D49" s="233"/>
      <c r="E49" s="233"/>
      <c r="F49" s="233"/>
      <c r="G49" s="233"/>
      <c r="H49" s="233"/>
      <c r="I49" s="233"/>
      <c r="J49" s="233"/>
      <c r="K49" s="233"/>
      <c r="L49" s="233"/>
      <c r="M49" s="233"/>
      <c r="N49" s="233"/>
      <c r="O49" s="233"/>
      <c r="P49" s="233"/>
    </row>
    <row r="50" spans="1:256" x14ac:dyDescent="0.15">
      <c r="B50" s="233"/>
      <c r="C50" s="233"/>
      <c r="D50" s="233"/>
      <c r="E50" s="233"/>
      <c r="F50" s="233"/>
      <c r="G50" s="233"/>
      <c r="H50" s="233"/>
      <c r="I50" s="233"/>
      <c r="J50" s="233"/>
      <c r="K50" s="233"/>
      <c r="L50" s="233"/>
      <c r="M50" s="233"/>
      <c r="N50" s="233"/>
      <c r="O50" s="233"/>
      <c r="P50" s="233"/>
    </row>
    <row r="51" spans="1:256" ht="8.25" customHeight="1" x14ac:dyDescent="0.15"/>
    <row r="52" spans="1:256" ht="15" customHeight="1" x14ac:dyDescent="0.15">
      <c r="A52"/>
      <c r="B52" s="87" t="s">
        <v>84</v>
      </c>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5" customHeight="1" x14ac:dyDescent="0.15">
      <c r="A53"/>
      <c r="B53" t="s">
        <v>85</v>
      </c>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5" customHeigh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5" customHeight="1" thickBot="1" x14ac:dyDescent="0.2">
      <c r="A55"/>
      <c r="B55"/>
      <c r="C55" s="96" t="s">
        <v>86</v>
      </c>
      <c r="D55" s="96"/>
      <c r="E55" s="96"/>
      <c r="F55" s="99"/>
      <c r="G55" s="99"/>
      <c r="H55" s="99"/>
      <c r="I55" s="99"/>
      <c r="J55" s="99"/>
      <c r="K55" s="99"/>
      <c r="L55" s="99"/>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5" customHeight="1" thickBot="1" x14ac:dyDescent="0.2">
      <c r="A56"/>
      <c r="B56"/>
      <c r="C56" s="224" t="s">
        <v>89</v>
      </c>
      <c r="D56" s="225"/>
      <c r="E56" s="103" t="s">
        <v>90</v>
      </c>
      <c r="F56" s="100" t="s">
        <v>91</v>
      </c>
      <c r="G56" s="100"/>
      <c r="H56" s="101" t="s">
        <v>92</v>
      </c>
      <c r="I56" s="226">
        <f>SUM(500*G56)</f>
        <v>0</v>
      </c>
      <c r="J56" s="227"/>
      <c r="K56" s="227"/>
      <c r="L56" s="102" t="s">
        <v>93</v>
      </c>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5" customHeight="1" thickBot="1" x14ac:dyDescent="0.2">
      <c r="A57"/>
      <c r="B57"/>
      <c r="C57" s="224" t="s">
        <v>94</v>
      </c>
      <c r="D57" s="228"/>
      <c r="E57" s="229"/>
      <c r="F57" s="230"/>
      <c r="G57" s="230"/>
      <c r="H57" s="231"/>
      <c r="I57" s="226">
        <f>SUM(500*G56)</f>
        <v>0</v>
      </c>
      <c r="J57" s="227"/>
      <c r="K57" s="227"/>
      <c r="L57" s="102" t="s">
        <v>93</v>
      </c>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5" customHeight="1" x14ac:dyDescent="0.15">
      <c r="A58"/>
      <c r="B58"/>
      <c r="C58" s="104"/>
      <c r="D58" s="104"/>
      <c r="E58" s="98"/>
      <c r="F58" s="98"/>
      <c r="G58" s="98"/>
      <c r="H58" s="98"/>
      <c r="I58" s="105"/>
      <c r="J58" s="105"/>
      <c r="K58" s="105"/>
      <c r="L58" s="106"/>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x14ac:dyDescent="0.15">
      <c r="C59" s="234">
        <f ca="1">NOW()</f>
        <v>44323.515230324076</v>
      </c>
      <c r="D59" s="234"/>
      <c r="E59" s="234"/>
    </row>
    <row r="60" spans="1:256" ht="24" customHeight="1" x14ac:dyDescent="0.15">
      <c r="F60" s="232" t="str">
        <f>IF(データ入力用!B5="","",データ入力用!B5)&amp;"長"</f>
        <v>長</v>
      </c>
      <c r="G60" s="232"/>
      <c r="H60" s="232"/>
      <c r="I60" s="232"/>
      <c r="J60" s="232"/>
      <c r="K60" s="232"/>
      <c r="L60" s="232"/>
      <c r="M60" s="232"/>
      <c r="N60" s="235" t="str">
        <f>IF(データ入力用!C6="","",データ入力用!C6)&amp;"          印"</f>
        <v xml:space="preserve">          印</v>
      </c>
      <c r="O60" s="235"/>
      <c r="P60" s="235"/>
    </row>
    <row r="62" spans="1:256" x14ac:dyDescent="0.15">
      <c r="A62" s="57" t="s">
        <v>53</v>
      </c>
      <c r="B62" s="58" t="s">
        <v>54</v>
      </c>
      <c r="C62" s="59"/>
      <c r="D62" s="59"/>
      <c r="E62" s="59"/>
      <c r="F62" s="59"/>
      <c r="G62" s="59"/>
      <c r="H62" s="59"/>
      <c r="I62" s="59"/>
      <c r="J62" s="59"/>
      <c r="K62" s="59"/>
      <c r="L62" s="59"/>
      <c r="M62" s="60"/>
    </row>
    <row r="63" spans="1:256" x14ac:dyDescent="0.15">
      <c r="A63" s="61" t="s">
        <v>55</v>
      </c>
      <c r="B63" s="62" t="s">
        <v>56</v>
      </c>
      <c r="C63" s="63"/>
      <c r="D63" s="63"/>
      <c r="E63" s="63"/>
      <c r="F63" s="63"/>
      <c r="G63" s="63"/>
      <c r="H63" s="63"/>
      <c r="I63" s="63"/>
      <c r="J63" s="63"/>
      <c r="K63" s="63"/>
      <c r="L63" s="63"/>
      <c r="M63" s="64"/>
      <c r="P63" s="38" t="s">
        <v>57</v>
      </c>
    </row>
    <row r="64" spans="1:256" x14ac:dyDescent="0.15">
      <c r="A64" s="65" t="s">
        <v>58</v>
      </c>
      <c r="B64" s="66" t="s">
        <v>59</v>
      </c>
      <c r="C64" s="67"/>
      <c r="D64" s="67"/>
      <c r="E64" s="67"/>
      <c r="F64" s="67"/>
      <c r="G64" s="67"/>
      <c r="H64" s="67"/>
      <c r="I64" s="67"/>
      <c r="J64" s="67"/>
      <c r="K64" s="67"/>
      <c r="L64" s="67"/>
      <c r="M64" s="68"/>
    </row>
  </sheetData>
  <mergeCells count="144">
    <mergeCell ref="C56:D56"/>
    <mergeCell ref="I56:K56"/>
    <mergeCell ref="C57:D57"/>
    <mergeCell ref="E57:H57"/>
    <mergeCell ref="I57:K57"/>
    <mergeCell ref="F60:M60"/>
    <mergeCell ref="B48:P50"/>
    <mergeCell ref="C59:E59"/>
    <mergeCell ref="N60:P60"/>
    <mergeCell ref="B7:C8"/>
    <mergeCell ref="A7:A8"/>
    <mergeCell ref="L7:L9"/>
    <mergeCell ref="G9:K9"/>
    <mergeCell ref="D7:D8"/>
    <mergeCell ref="E7:K8"/>
    <mergeCell ref="M7:P7"/>
    <mergeCell ref="M8:P8"/>
    <mergeCell ref="M9:P9"/>
    <mergeCell ref="A11:A12"/>
    <mergeCell ref="B11:B12"/>
    <mergeCell ref="A15:A18"/>
    <mergeCell ref="B15:B16"/>
    <mergeCell ref="B17:B18"/>
    <mergeCell ref="C11:F11"/>
    <mergeCell ref="C12:F12"/>
    <mergeCell ref="G11:I11"/>
    <mergeCell ref="G12:I12"/>
    <mergeCell ref="B25:B26"/>
    <mergeCell ref="A2:P2"/>
    <mergeCell ref="A3:P3"/>
    <mergeCell ref="A5:P5"/>
    <mergeCell ref="H15:H16"/>
    <mergeCell ref="H17:H18"/>
    <mergeCell ref="I15:M15"/>
    <mergeCell ref="I16:M16"/>
    <mergeCell ref="I17:M17"/>
    <mergeCell ref="I18:M18"/>
    <mergeCell ref="K11:K12"/>
    <mergeCell ref="L11:L12"/>
    <mergeCell ref="M11:O11"/>
    <mergeCell ref="M12:O12"/>
    <mergeCell ref="A9:C9"/>
    <mergeCell ref="A6:C6"/>
    <mergeCell ref="A10:P10"/>
    <mergeCell ref="A4:P4"/>
    <mergeCell ref="C25:G26"/>
    <mergeCell ref="H25:H26"/>
    <mergeCell ref="I25:M25"/>
    <mergeCell ref="O25:P26"/>
    <mergeCell ref="I26:M26"/>
    <mergeCell ref="I21:M21"/>
    <mergeCell ref="O15:P16"/>
    <mergeCell ref="I14:N14"/>
    <mergeCell ref="O14:P14"/>
    <mergeCell ref="O17:P18"/>
    <mergeCell ref="I23:M23"/>
    <mergeCell ref="O23:P24"/>
    <mergeCell ref="I24:M24"/>
    <mergeCell ref="A19:A22"/>
    <mergeCell ref="B19:B20"/>
    <mergeCell ref="C19:G20"/>
    <mergeCell ref="H19:H20"/>
    <mergeCell ref="I19:M19"/>
    <mergeCell ref="O19:P20"/>
    <mergeCell ref="I20:M20"/>
    <mergeCell ref="B21:B22"/>
    <mergeCell ref="C21:G22"/>
    <mergeCell ref="H21:H22"/>
    <mergeCell ref="I22:M22"/>
    <mergeCell ref="O21:P22"/>
    <mergeCell ref="C15:G16"/>
    <mergeCell ref="C17:G18"/>
    <mergeCell ref="O33:P34"/>
    <mergeCell ref="O29:P30"/>
    <mergeCell ref="I30:M30"/>
    <mergeCell ref="A31:A34"/>
    <mergeCell ref="B31:B32"/>
    <mergeCell ref="C31:G32"/>
    <mergeCell ref="H31:H32"/>
    <mergeCell ref="I31:M31"/>
    <mergeCell ref="O31:P32"/>
    <mergeCell ref="I32:M32"/>
    <mergeCell ref="A27:A30"/>
    <mergeCell ref="B27:B28"/>
    <mergeCell ref="C27:G28"/>
    <mergeCell ref="H27:H28"/>
    <mergeCell ref="I27:M27"/>
    <mergeCell ref="O27:P28"/>
    <mergeCell ref="I28:M28"/>
    <mergeCell ref="B29:B30"/>
    <mergeCell ref="C29:G30"/>
    <mergeCell ref="H29:H30"/>
    <mergeCell ref="I34:M34"/>
    <mergeCell ref="I29:M29"/>
    <mergeCell ref="A1:C1"/>
    <mergeCell ref="A23:A26"/>
    <mergeCell ref="B23:B24"/>
    <mergeCell ref="C23:G24"/>
    <mergeCell ref="H23:H24"/>
    <mergeCell ref="I41:M41"/>
    <mergeCell ref="O41:P42"/>
    <mergeCell ref="I42:M42"/>
    <mergeCell ref="A13:P13"/>
    <mergeCell ref="B14:G14"/>
    <mergeCell ref="A39:A42"/>
    <mergeCell ref="B39:B40"/>
    <mergeCell ref="C39:G40"/>
    <mergeCell ref="H39:H40"/>
    <mergeCell ref="I39:M39"/>
    <mergeCell ref="O39:P40"/>
    <mergeCell ref="I40:M40"/>
    <mergeCell ref="B41:B42"/>
    <mergeCell ref="C41:G42"/>
    <mergeCell ref="H41:H42"/>
    <mergeCell ref="B33:B34"/>
    <mergeCell ref="C33:G34"/>
    <mergeCell ref="H33:H34"/>
    <mergeCell ref="I33:M33"/>
    <mergeCell ref="A43:A46"/>
    <mergeCell ref="B43:B44"/>
    <mergeCell ref="C43:G44"/>
    <mergeCell ref="H43:H44"/>
    <mergeCell ref="I43:M43"/>
    <mergeCell ref="O43:P44"/>
    <mergeCell ref="I44:M44"/>
    <mergeCell ref="B45:B46"/>
    <mergeCell ref="C45:G46"/>
    <mergeCell ref="H45:H46"/>
    <mergeCell ref="I45:M45"/>
    <mergeCell ref="O45:P46"/>
    <mergeCell ref="I46:M46"/>
    <mergeCell ref="A35:A38"/>
    <mergeCell ref="B35:B36"/>
    <mergeCell ref="C35:G36"/>
    <mergeCell ref="H35:H36"/>
    <mergeCell ref="I35:M35"/>
    <mergeCell ref="O35:P36"/>
    <mergeCell ref="I36:M36"/>
    <mergeCell ref="B37:B38"/>
    <mergeCell ref="C37:G38"/>
    <mergeCell ref="H37:H38"/>
    <mergeCell ref="I37:M37"/>
    <mergeCell ref="O37:P38"/>
    <mergeCell ref="I38:M38"/>
  </mergeCells>
  <phoneticPr fontId="19"/>
  <dataValidations count="4">
    <dataValidation type="list" allowBlank="1" showInputMessage="1" showErrorMessage="1" sqref="A1" xr:uid="{00000000-0002-0000-0200-000000000000}">
      <formula1>"全国,新人"</formula1>
    </dataValidation>
    <dataValidation type="list" allowBlank="1" showInputMessage="1" showErrorMessage="1" sqref="U13" xr:uid="{00000000-0002-0000-0200-000001000000}">
      <formula1>"全九州，全国，新人"</formula1>
    </dataValidation>
    <dataValidation type="list" allowBlank="1" showInputMessage="1" showErrorMessage="1" sqref="E6" xr:uid="{00000000-0002-0000-0200-000002000000}">
      <formula1>#REF!</formula1>
    </dataValidation>
    <dataValidation type="list" allowBlank="1" showDropDown="1" showInputMessage="1" showErrorMessage="1" sqref="D6" xr:uid="{00000000-0002-0000-0200-000003000000}">
      <formula1>#REF!</formula1>
    </dataValidation>
  </dataValidations>
  <pageMargins left="1.1023622047244095" right="0.70866141732283472" top="0.74803149606299213" bottom="0.74803149606299213" header="0.31496062992125984" footer="0.31496062992125984"/>
  <pageSetup paperSize="9" scale="72"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P48"/>
  <sheetViews>
    <sheetView view="pageBreakPreview" zoomScale="60" zoomScaleNormal="100" workbookViewId="0">
      <selection activeCell="A2" sqref="A2:P2"/>
    </sheetView>
  </sheetViews>
  <sheetFormatPr defaultRowHeight="13.5" x14ac:dyDescent="0.15"/>
  <cols>
    <col min="1" max="1" width="3.5" customWidth="1"/>
    <col min="2" max="2" width="3.125" customWidth="1"/>
    <col min="3" max="3" width="3.875" customWidth="1"/>
    <col min="4" max="4" width="6.125" customWidth="1"/>
    <col min="5" max="5" width="11.75" customWidth="1"/>
    <col min="6" max="6" width="4.875" customWidth="1"/>
    <col min="7" max="7" width="3.125" customWidth="1"/>
    <col min="8" max="8" width="4.625" customWidth="1"/>
    <col min="9" max="9" width="1.625" customWidth="1"/>
    <col min="10" max="10" width="4.125" customWidth="1"/>
    <col min="11" max="11" width="3.5" customWidth="1"/>
    <col min="12" max="12" width="3.125" customWidth="1"/>
    <col min="13" max="13" width="9.875" customWidth="1"/>
    <col min="14" max="14" width="6.125" customWidth="1"/>
    <col min="15" max="15" width="11.75" customWidth="1"/>
    <col min="16" max="16" width="12.625" customWidth="1"/>
  </cols>
  <sheetData>
    <row r="1" spans="1:16" ht="27" customHeight="1" x14ac:dyDescent="0.15">
      <c r="A1" s="238" t="s">
        <v>40</v>
      </c>
      <c r="B1" s="239"/>
      <c r="C1" s="240"/>
    </row>
    <row r="2" spans="1:16" ht="18.75" x14ac:dyDescent="0.15">
      <c r="A2" s="248" t="str">
        <f>IF($A$1="全九州",$A$46,IF($A$1="全国",$A$47,IF($A$1="新人",$A$48,"")))</f>
        <v>福岡県高等学校総合体育大会　ソフトテニス選手権大会　</v>
      </c>
      <c r="B2" s="248"/>
      <c r="C2" s="248"/>
      <c r="D2" s="248"/>
      <c r="E2" s="248"/>
      <c r="F2" s="248"/>
      <c r="G2" s="248"/>
      <c r="H2" s="248"/>
      <c r="I2" s="248"/>
      <c r="J2" s="248"/>
      <c r="K2" s="248"/>
      <c r="L2" s="248"/>
      <c r="M2" s="248"/>
      <c r="N2" s="248"/>
      <c r="O2" s="248"/>
      <c r="P2" s="248"/>
    </row>
    <row r="3" spans="1:16" x14ac:dyDescent="0.15">
      <c r="A3" s="131" t="str">
        <f>IF($A$1="全九州",$B$46,IF($A$1="全国",$B$47,IF($A$1="新人",$B$48,"")))</f>
        <v>（ 兼 全国高等学校総合体育大会　ソフトテニス選手権大会　福岡県予選 ）</v>
      </c>
      <c r="B3" s="131"/>
      <c r="C3" s="131"/>
      <c r="D3" s="131"/>
      <c r="E3" s="131"/>
      <c r="F3" s="131"/>
      <c r="G3" s="131"/>
      <c r="H3" s="131"/>
      <c r="I3" s="131"/>
      <c r="J3" s="131"/>
      <c r="K3" s="131"/>
      <c r="L3" s="131"/>
      <c r="M3" s="131"/>
      <c r="N3" s="131"/>
      <c r="O3" s="131"/>
      <c r="P3" s="131"/>
    </row>
    <row r="4" spans="1:16" x14ac:dyDescent="0.15">
      <c r="A4" s="131" t="str">
        <f>IF($A$1="全国",$B$46,"")</f>
        <v>（ 兼 全九州高等学校体育大会　ソフトテニス競技　福岡県予選 ）</v>
      </c>
      <c r="B4" s="131"/>
      <c r="C4" s="131"/>
      <c r="D4" s="131"/>
      <c r="E4" s="131"/>
      <c r="F4" s="131"/>
      <c r="G4" s="131"/>
      <c r="H4" s="131"/>
      <c r="I4" s="131"/>
      <c r="J4" s="131"/>
      <c r="K4" s="131"/>
      <c r="L4" s="131"/>
      <c r="M4" s="131"/>
      <c r="N4" s="131"/>
      <c r="O4" s="131"/>
      <c r="P4" s="131"/>
    </row>
    <row r="5" spans="1:16" ht="29.25" customHeight="1" x14ac:dyDescent="0.15">
      <c r="A5" s="248" t="s">
        <v>41</v>
      </c>
      <c r="B5" s="248"/>
      <c r="C5" s="248"/>
      <c r="D5" s="248"/>
      <c r="E5" s="248"/>
      <c r="F5" s="248"/>
      <c r="G5" s="248"/>
      <c r="H5" s="248"/>
      <c r="I5" s="248"/>
      <c r="J5" s="248"/>
      <c r="K5" s="248"/>
      <c r="L5" s="248"/>
      <c r="M5" s="248"/>
      <c r="N5" s="248"/>
      <c r="O5" s="248"/>
      <c r="P5" s="248"/>
    </row>
    <row r="6" spans="1:16" ht="17.25" x14ac:dyDescent="0.15">
      <c r="A6" s="295" t="s">
        <v>26</v>
      </c>
      <c r="B6" s="295"/>
      <c r="C6" s="295"/>
      <c r="D6" s="296"/>
      <c r="E6" s="296"/>
      <c r="F6" s="9"/>
      <c r="G6" s="9"/>
      <c r="H6" s="9"/>
      <c r="I6" s="9"/>
      <c r="J6" s="9"/>
      <c r="K6" s="9"/>
      <c r="L6" s="9"/>
      <c r="M6" s="9"/>
      <c r="N6" s="9"/>
      <c r="O6" s="9"/>
      <c r="P6" s="9"/>
    </row>
    <row r="7" spans="1:16" ht="15" customHeight="1" x14ac:dyDescent="0.15">
      <c r="A7" s="208" t="s">
        <v>15</v>
      </c>
      <c r="B7" s="204">
        <f>データ入力用!B3</f>
        <v>0</v>
      </c>
      <c r="C7" s="205"/>
      <c r="D7" s="287" t="s">
        <v>19</v>
      </c>
      <c r="E7" s="211">
        <f>データ入力用!B5</f>
        <v>0</v>
      </c>
      <c r="F7" s="211"/>
      <c r="G7" s="211"/>
      <c r="H7" s="211"/>
      <c r="I7" s="211"/>
      <c r="J7" s="211"/>
      <c r="K7" s="212"/>
      <c r="L7" s="289" t="s">
        <v>20</v>
      </c>
      <c r="M7" s="215" t="str">
        <f>"〒"&amp;データ入力用!F5</f>
        <v>〒</v>
      </c>
      <c r="N7" s="216"/>
      <c r="O7" s="216"/>
      <c r="P7" s="217"/>
    </row>
    <row r="8" spans="1:16" ht="18.75" customHeight="1" x14ac:dyDescent="0.15">
      <c r="A8" s="209"/>
      <c r="B8" s="206"/>
      <c r="C8" s="207"/>
      <c r="D8" s="288"/>
      <c r="E8" s="213"/>
      <c r="F8" s="213"/>
      <c r="G8" s="213"/>
      <c r="H8" s="213"/>
      <c r="I8" s="213"/>
      <c r="J8" s="213"/>
      <c r="K8" s="214"/>
      <c r="L8" s="290"/>
      <c r="M8" s="218">
        <f>データ入力用!G5</f>
        <v>0</v>
      </c>
      <c r="N8" s="219"/>
      <c r="O8" s="219"/>
      <c r="P8" s="220"/>
    </row>
    <row r="9" spans="1:16" ht="26.25" customHeight="1" x14ac:dyDescent="0.15">
      <c r="A9" s="301" t="s">
        <v>22</v>
      </c>
      <c r="B9" s="302"/>
      <c r="C9" s="302"/>
      <c r="D9" s="12" t="s">
        <v>23</v>
      </c>
      <c r="E9" s="41">
        <f>データ入力用!D7</f>
        <v>0</v>
      </c>
      <c r="F9" s="12" t="s">
        <v>24</v>
      </c>
      <c r="G9" s="197">
        <f>データ入力用!F7</f>
        <v>0</v>
      </c>
      <c r="H9" s="197"/>
      <c r="I9" s="197"/>
      <c r="J9" s="197"/>
      <c r="K9" s="201"/>
      <c r="L9" s="291"/>
      <c r="M9" s="221">
        <f>データ入力用!K5</f>
        <v>0</v>
      </c>
      <c r="N9" s="222"/>
      <c r="O9" s="222"/>
      <c r="P9" s="223"/>
    </row>
    <row r="10" spans="1:16" ht="24.75" customHeight="1" x14ac:dyDescent="0.2">
      <c r="A10" s="253" t="s">
        <v>25</v>
      </c>
      <c r="B10" s="253"/>
      <c r="C10" s="253"/>
      <c r="D10" s="253"/>
      <c r="E10" s="253"/>
      <c r="F10" s="253"/>
      <c r="G10" s="253"/>
      <c r="H10" s="253"/>
      <c r="I10" s="253"/>
      <c r="J10" s="253"/>
      <c r="K10" s="253"/>
      <c r="L10" s="253"/>
      <c r="M10" s="253"/>
      <c r="N10" s="253"/>
      <c r="O10" s="253"/>
      <c r="P10" s="253"/>
    </row>
    <row r="11" spans="1:16" x14ac:dyDescent="0.15">
      <c r="A11" s="289" t="s">
        <v>27</v>
      </c>
      <c r="B11" s="257" t="s">
        <v>43</v>
      </c>
      <c r="C11" s="258"/>
      <c r="D11" s="258"/>
      <c r="E11" s="258"/>
      <c r="F11" s="259"/>
      <c r="G11" s="287"/>
      <c r="H11" s="287"/>
      <c r="I11" s="300"/>
      <c r="J11" s="263"/>
      <c r="K11" s="131"/>
      <c r="L11" s="131"/>
      <c r="M11" s="131"/>
      <c r="N11" s="131"/>
      <c r="O11" s="131"/>
      <c r="P11" s="131"/>
    </row>
    <row r="12" spans="1:16" ht="31.5" customHeight="1" x14ac:dyDescent="0.15">
      <c r="A12" s="291"/>
      <c r="B12" s="260">
        <f>VLOOKUP(A11,データ入力用!B9:F9,3,FALSE)</f>
        <v>0</v>
      </c>
      <c r="C12" s="261"/>
      <c r="D12" s="261"/>
      <c r="E12" s="261"/>
      <c r="F12" s="262"/>
      <c r="G12" s="250">
        <f>VLOOKUP(A11,データ入力用!B9:F13,5,FALSE)</f>
        <v>0</v>
      </c>
      <c r="H12" s="251"/>
      <c r="I12" s="252"/>
      <c r="J12" s="263"/>
      <c r="K12" s="131"/>
      <c r="L12" s="131"/>
      <c r="M12" s="131"/>
      <c r="N12" s="131"/>
      <c r="O12" s="131"/>
      <c r="P12" s="131"/>
    </row>
    <row r="13" spans="1:16" ht="27" customHeight="1" x14ac:dyDescent="0.2">
      <c r="A13" s="253" t="s">
        <v>44</v>
      </c>
      <c r="B13" s="253"/>
      <c r="C13" s="253"/>
      <c r="D13" s="253"/>
      <c r="E13" s="253"/>
      <c r="F13" s="253"/>
      <c r="G13" s="253"/>
      <c r="H13" s="253"/>
      <c r="I13" s="253"/>
      <c r="J13" s="253"/>
      <c r="K13" s="253"/>
      <c r="L13" s="253"/>
      <c r="M13" s="253"/>
      <c r="N13" s="253"/>
      <c r="O13" s="253"/>
      <c r="P13" s="253"/>
    </row>
    <row r="14" spans="1:16" ht="17.25" customHeight="1" x14ac:dyDescent="0.15">
      <c r="A14" s="2"/>
      <c r="B14" s="254" t="s">
        <v>45</v>
      </c>
      <c r="C14" s="254"/>
      <c r="D14" s="254"/>
      <c r="E14" s="254"/>
      <c r="F14" s="254"/>
      <c r="G14" s="254"/>
      <c r="H14" s="3" t="s">
        <v>35</v>
      </c>
      <c r="I14" s="297" t="s">
        <v>46</v>
      </c>
      <c r="J14" s="254"/>
      <c r="K14" s="254"/>
      <c r="L14" s="254"/>
      <c r="M14" s="254"/>
      <c r="N14" s="298"/>
      <c r="O14" s="299" t="s">
        <v>47</v>
      </c>
      <c r="P14" s="298"/>
    </row>
    <row r="15" spans="1:16" ht="25.5" customHeight="1" x14ac:dyDescent="0.15">
      <c r="A15" s="236">
        <v>1</v>
      </c>
      <c r="B15" s="241" t="str">
        <f>IF(ISNA(VLOOKUP(1,データ入力用!$C$17:$J$116,2,FALSE)),"",VLOOKUP(1,データ入力用!$C$17:$J$116,2,FALSE))</f>
        <v>福岡　太郎</v>
      </c>
      <c r="C15" s="264"/>
      <c r="D15" s="264"/>
      <c r="E15" s="264"/>
      <c r="F15" s="264"/>
      <c r="G15" s="265"/>
      <c r="H15" s="281">
        <f>IF(ISNA(VLOOKUP(1,データ入力用!$C$17:$J$116,3,FALSE)),"",VLOOKUP(1,データ入力用!$C$17:$J$116,3,FALSE))</f>
        <v>1</v>
      </c>
      <c r="I15" s="282">
        <f>IF(ISNA(VLOOKUP(1,データ入力用!$C$17:$J$116,4,FALSE)),"",VLOOKUP(1,データ入力用!$C$17:$J$116,4,FALSE))</f>
        <v>37748</v>
      </c>
      <c r="J15" s="283" t="str">
        <f>VLOOKUP("1A",データ入力用!$B$17:$J$50,3,FALSE)</f>
        <v>福岡　太郎</v>
      </c>
      <c r="K15" s="283" t="str">
        <f>VLOOKUP("1A",データ入力用!$B$17:$J$50,3,FALSE)</f>
        <v>福岡　太郎</v>
      </c>
      <c r="L15" s="283" t="str">
        <f>VLOOKUP("1A",データ入力用!$B$17:$J$50,3,FALSE)</f>
        <v>福岡　太郎</v>
      </c>
      <c r="M15" s="284" t="str">
        <f>VLOOKUP("1A",データ入力用!$B$17:$J$50,3,FALSE)</f>
        <v>福岡　太郎</v>
      </c>
      <c r="N15" s="5" t="s">
        <v>49</v>
      </c>
      <c r="O15" s="285">
        <f>IF(ISNA(VLOOKUP(1,データ入力用!$C$17:$J$116,8,FALSE)),"",VLOOKUP(1,データ入力用!$C$17:$J$116,8,FALSE))</f>
        <v>123456789</v>
      </c>
      <c r="P15" s="286"/>
    </row>
    <row r="16" spans="1:16" ht="25.5" customHeight="1" x14ac:dyDescent="0.15">
      <c r="A16" s="237"/>
      <c r="B16" s="266"/>
      <c r="C16" s="267"/>
      <c r="D16" s="267"/>
      <c r="E16" s="267"/>
      <c r="F16" s="267"/>
      <c r="G16" s="268"/>
      <c r="H16" s="270"/>
      <c r="I16" s="278">
        <f>IF(ISNA(VLOOKUP(1,データ入力用!$C$17:$J$116,5,FALSE)),"",VLOOKUP(1,データ入力用!$C$17:$J$116,5,FALSE))</f>
        <v>43928</v>
      </c>
      <c r="J16" s="279" t="str">
        <f>VLOOKUP("1A",データ入力用!$B$17:$J$50,3,FALSE)</f>
        <v>福岡　太郎</v>
      </c>
      <c r="K16" s="279" t="str">
        <f>VLOOKUP("1A",データ入力用!$B$17:$J$50,3,FALSE)</f>
        <v>福岡　太郎</v>
      </c>
      <c r="L16" s="279" t="str">
        <f>VLOOKUP("1A",データ入力用!$B$17:$J$50,3,FALSE)</f>
        <v>福岡　太郎</v>
      </c>
      <c r="M16" s="280" t="str">
        <f>VLOOKUP("1A",データ入力用!$B$17:$J$50,3,FALSE)</f>
        <v>福岡　太郎</v>
      </c>
      <c r="N16" s="8" t="str">
        <f>IF(ISNA(VLOOKUP(1,データ入力用!$C$17:$J$116,7,FALSE)),"",VLOOKUP(1,データ入力用!$C$17:$J$116,7,FALSE))</f>
        <v>入学</v>
      </c>
      <c r="O16" s="276"/>
      <c r="P16" s="277"/>
    </row>
    <row r="17" spans="1:16" ht="25.5" customHeight="1" x14ac:dyDescent="0.15">
      <c r="A17" s="236">
        <v>2</v>
      </c>
      <c r="B17" s="247" t="str">
        <f>IF(ISNA(VLOOKUP(2,データ入力用!$C$17:$J$116,2,FALSE)),"",VLOOKUP(2,データ入力用!$C$17:$J$116,2,FALSE))</f>
        <v/>
      </c>
      <c r="C17" s="248"/>
      <c r="D17" s="248"/>
      <c r="E17" s="248"/>
      <c r="F17" s="248"/>
      <c r="G17" s="249"/>
      <c r="H17" s="269" t="str">
        <f>IF(ISNA(VLOOKUP(2,データ入力用!$C$17:$J$116,3,FALSE)),"",VLOOKUP(2,データ入力用!$C$17:$J$116,3,FALSE))</f>
        <v/>
      </c>
      <c r="I17" s="271" t="str">
        <f>IF(ISNA(VLOOKUP(2,データ入力用!$C$17:$J$116,4,FALSE)),"",VLOOKUP(2,データ入力用!$C$17:$J$116,4,FALSE))</f>
        <v/>
      </c>
      <c r="J17" s="272" t="str">
        <f>VLOOKUP("1A",データ入力用!$B$17:$J$50,3,FALSE)</f>
        <v>福岡　太郎</v>
      </c>
      <c r="K17" s="272" t="str">
        <f>VLOOKUP("1A",データ入力用!$B$17:$J$50,3,FALSE)</f>
        <v>福岡　太郎</v>
      </c>
      <c r="L17" s="272" t="str">
        <f>VLOOKUP("1A",データ入力用!$B$17:$J$50,3,FALSE)</f>
        <v>福岡　太郎</v>
      </c>
      <c r="M17" s="273" t="str">
        <f>VLOOKUP("1A",データ入力用!$B$17:$J$50,3,FALSE)</f>
        <v>福岡　太郎</v>
      </c>
      <c r="N17" s="16" t="s">
        <v>49</v>
      </c>
      <c r="O17" s="274" t="str">
        <f>IF(ISNA(VLOOKUP(2,データ入力用!$C$17:$J$116,8,FALSE)),"",VLOOKUP(2,データ入力用!$C$17:$J$116,8,FALSE))</f>
        <v/>
      </c>
      <c r="P17" s="275"/>
    </row>
    <row r="18" spans="1:16" ht="25.5" customHeight="1" x14ac:dyDescent="0.15">
      <c r="A18" s="237"/>
      <c r="B18" s="244"/>
      <c r="C18" s="245"/>
      <c r="D18" s="245"/>
      <c r="E18" s="245"/>
      <c r="F18" s="245"/>
      <c r="G18" s="246"/>
      <c r="H18" s="270"/>
      <c r="I18" s="278" t="str">
        <f>IF(ISNA(VLOOKUP(2,データ入力用!$C$17:$J$116,5,FALSE)),"",VLOOKUP(2,データ入力用!$C$17:$J$116,5,FALSE))</f>
        <v/>
      </c>
      <c r="J18" s="279" t="str">
        <f>VLOOKUP("1A",データ入力用!$B$17:$J$50,3,FALSE)</f>
        <v>福岡　太郎</v>
      </c>
      <c r="K18" s="279" t="str">
        <f>VLOOKUP("1A",データ入力用!$B$17:$J$50,3,FALSE)</f>
        <v>福岡　太郎</v>
      </c>
      <c r="L18" s="279" t="str">
        <f>VLOOKUP("1A",データ入力用!$B$17:$J$50,3,FALSE)</f>
        <v>福岡　太郎</v>
      </c>
      <c r="M18" s="280" t="str">
        <f>VLOOKUP("1A",データ入力用!$B$17:$J$50,3,FALSE)</f>
        <v>福岡　太郎</v>
      </c>
      <c r="N18" s="6" t="str">
        <f>IF(ISNA(VLOOKUP(2,データ入力用!$C$17:$J$116,7,FALSE)),"",VLOOKUP(2,データ入力用!$C$17:$J$116,7,FALSE))</f>
        <v/>
      </c>
      <c r="O18" s="276"/>
      <c r="P18" s="277"/>
    </row>
    <row r="19" spans="1:16" ht="25.5" customHeight="1" x14ac:dyDescent="0.15">
      <c r="A19" s="236">
        <v>3</v>
      </c>
      <c r="B19" s="241" t="str">
        <f>IF(ISNA(VLOOKUP(3,データ入力用!$C$17:$J$116,2,FALSE)),"",VLOOKUP(3,データ入力用!$C$17:$J$116,2,FALSE))</f>
        <v/>
      </c>
      <c r="C19" s="242"/>
      <c r="D19" s="242"/>
      <c r="E19" s="242"/>
      <c r="F19" s="242"/>
      <c r="G19" s="243"/>
      <c r="H19" s="281" t="str">
        <f>IF(ISNA(VLOOKUP(3,データ入力用!$C$17:$J$116,3,FALSE)),"",VLOOKUP(3,データ入力用!$C$17:$J$116,3,FALSE))</f>
        <v/>
      </c>
      <c r="I19" s="282" t="str">
        <f>IF(ISNA(VLOOKUP(3,データ入力用!$C$17:$J$116,4,FALSE)),"",VLOOKUP(3,データ入力用!$C$17:$J$116,4,FALSE))</f>
        <v/>
      </c>
      <c r="J19" s="283" t="str">
        <f>VLOOKUP("1A",データ入力用!$B$17:$J$50,3,FALSE)</f>
        <v>福岡　太郎</v>
      </c>
      <c r="K19" s="283" t="str">
        <f>VLOOKUP("1A",データ入力用!$B$17:$J$50,3,FALSE)</f>
        <v>福岡　太郎</v>
      </c>
      <c r="L19" s="283" t="str">
        <f>VLOOKUP("1A",データ入力用!$B$17:$J$50,3,FALSE)</f>
        <v>福岡　太郎</v>
      </c>
      <c r="M19" s="284" t="str">
        <f>VLOOKUP("1A",データ入力用!$B$17:$J$50,3,FALSE)</f>
        <v>福岡　太郎</v>
      </c>
      <c r="N19" s="5" t="s">
        <v>49</v>
      </c>
      <c r="O19" s="285" t="str">
        <f>IF(ISNA(VLOOKUP(3,データ入力用!$C$17:$J$116,8,FALSE)),"",VLOOKUP(3,データ入力用!$C$17:$J$116,8,FALSE))</f>
        <v/>
      </c>
      <c r="P19" s="286"/>
    </row>
    <row r="20" spans="1:16" ht="25.5" customHeight="1" x14ac:dyDescent="0.15">
      <c r="A20" s="237"/>
      <c r="B20" s="244"/>
      <c r="C20" s="245"/>
      <c r="D20" s="245"/>
      <c r="E20" s="245"/>
      <c r="F20" s="245"/>
      <c r="G20" s="246"/>
      <c r="H20" s="270"/>
      <c r="I20" s="278" t="str">
        <f>IF(ISNA(VLOOKUP(3,データ入力用!$C$17:$J$116,5,FALSE)),"",VLOOKUP(3,データ入力用!$C$17:$J$116,5,FALSE))</f>
        <v/>
      </c>
      <c r="J20" s="279" t="str">
        <f>VLOOKUP("1A",データ入力用!$B$17:$J$50,3,FALSE)</f>
        <v>福岡　太郎</v>
      </c>
      <c r="K20" s="279" t="str">
        <f>VLOOKUP("1A",データ入力用!$B$17:$J$50,3,FALSE)</f>
        <v>福岡　太郎</v>
      </c>
      <c r="L20" s="279" t="str">
        <f>VLOOKUP("1A",データ入力用!$B$17:$J$50,3,FALSE)</f>
        <v>福岡　太郎</v>
      </c>
      <c r="M20" s="280" t="str">
        <f>VLOOKUP("1A",データ入力用!$B$17:$J$50,3,FALSE)</f>
        <v>福岡　太郎</v>
      </c>
      <c r="N20" s="8" t="str">
        <f>IF(ISNA(VLOOKUP(3,データ入力用!$C$17:$J$116,7,FALSE)),"",VLOOKUP(3,データ入力用!$C$17:$J$116,7,FALSE))</f>
        <v/>
      </c>
      <c r="O20" s="276"/>
      <c r="P20" s="277"/>
    </row>
    <row r="21" spans="1:16" ht="25.5" customHeight="1" x14ac:dyDescent="0.15">
      <c r="A21" s="236">
        <v>4</v>
      </c>
      <c r="B21" s="247" t="str">
        <f>IF(ISNA(VLOOKUP(4,データ入力用!$C$17:$J$116,2,FALSE)),"",VLOOKUP(4,データ入力用!$C$17:$J$116,2,FALSE))</f>
        <v/>
      </c>
      <c r="C21" s="248"/>
      <c r="D21" s="248"/>
      <c r="E21" s="248"/>
      <c r="F21" s="248"/>
      <c r="G21" s="249"/>
      <c r="H21" s="269" t="str">
        <f>IF(ISNA(VLOOKUP(4,データ入力用!$C$17:$J$116,3,FALSE)),"",VLOOKUP(4,データ入力用!$C$17:$J$116,3,FALSE))</f>
        <v/>
      </c>
      <c r="I21" s="271" t="str">
        <f>IF(ISNA(VLOOKUP(4,データ入力用!$C$17:$J$116,4,FALSE)),"",VLOOKUP(4,データ入力用!$C$17:$J$116,4,FALSE))</f>
        <v/>
      </c>
      <c r="J21" s="272" t="str">
        <f>VLOOKUP("1A",データ入力用!$B$17:$J$50,3,FALSE)</f>
        <v>福岡　太郎</v>
      </c>
      <c r="K21" s="272" t="str">
        <f>VLOOKUP("1A",データ入力用!$B$17:$J$50,3,FALSE)</f>
        <v>福岡　太郎</v>
      </c>
      <c r="L21" s="272" t="str">
        <f>VLOOKUP("1A",データ入力用!$B$17:$J$50,3,FALSE)</f>
        <v>福岡　太郎</v>
      </c>
      <c r="M21" s="273" t="str">
        <f>VLOOKUP("1A",データ入力用!$B$17:$J$50,3,FALSE)</f>
        <v>福岡　太郎</v>
      </c>
      <c r="N21" s="16" t="s">
        <v>49</v>
      </c>
      <c r="O21" s="274" t="str">
        <f>IF(ISNA(VLOOKUP(4,データ入力用!$C$17:$J$116,8,FALSE)),"",VLOOKUP(4,データ入力用!$C$17:$J$116,8,FALSE))</f>
        <v/>
      </c>
      <c r="P21" s="275"/>
    </row>
    <row r="22" spans="1:16" ht="25.5" customHeight="1" x14ac:dyDescent="0.15">
      <c r="A22" s="237"/>
      <c r="B22" s="244"/>
      <c r="C22" s="245"/>
      <c r="D22" s="245"/>
      <c r="E22" s="245"/>
      <c r="F22" s="245"/>
      <c r="G22" s="246"/>
      <c r="H22" s="270"/>
      <c r="I22" s="278" t="str">
        <f>IF(ISNA(VLOOKUP(4,データ入力用!$C$17:$J$116,5,FALSE)),"",VLOOKUP(4,データ入力用!$C$17:$J$116,5,FALSE))</f>
        <v/>
      </c>
      <c r="J22" s="279" t="str">
        <f>VLOOKUP("1A",データ入力用!$B$17:$J$50,3,FALSE)</f>
        <v>福岡　太郎</v>
      </c>
      <c r="K22" s="279" t="str">
        <f>VLOOKUP("1A",データ入力用!$B$17:$J$50,3,FALSE)</f>
        <v>福岡　太郎</v>
      </c>
      <c r="L22" s="279" t="str">
        <f>VLOOKUP("1A",データ入力用!$B$17:$J$50,3,FALSE)</f>
        <v>福岡　太郎</v>
      </c>
      <c r="M22" s="280" t="str">
        <f>VLOOKUP("1A",データ入力用!$B$17:$J$50,3,FALSE)</f>
        <v>福岡　太郎</v>
      </c>
      <c r="N22" s="6" t="str">
        <f>IF(ISNA(VLOOKUP(4,データ入力用!$C$17:$J$116,7,FALSE)),"",VLOOKUP(4,データ入力用!$C$17:$J$116,7,FALSE))</f>
        <v/>
      </c>
      <c r="O22" s="276"/>
      <c r="P22" s="277"/>
    </row>
    <row r="23" spans="1:16" ht="25.5" customHeight="1" x14ac:dyDescent="0.15">
      <c r="A23" s="236">
        <v>5</v>
      </c>
      <c r="B23" s="241" t="str">
        <f>IF(ISNA(VLOOKUP(5,データ入力用!$C$17:$J$116,2,FALSE)),"",VLOOKUP(5,データ入力用!$C$17:$J$116,2,FALSE))</f>
        <v/>
      </c>
      <c r="C23" s="242"/>
      <c r="D23" s="242"/>
      <c r="E23" s="242"/>
      <c r="F23" s="242"/>
      <c r="G23" s="243"/>
      <c r="H23" s="281" t="str">
        <f>IF(ISNA(VLOOKUP(5,データ入力用!$C$17:$J$116,3,FALSE)),"",VLOOKUP(5,データ入力用!$C$17:$J$116,3,FALSE))</f>
        <v/>
      </c>
      <c r="I23" s="282" t="str">
        <f>IF(ISNA(VLOOKUP(5,データ入力用!$C$17:$J$116,4,FALSE)),"",VLOOKUP(5,データ入力用!$C$17:$J$116,4,FALSE))</f>
        <v/>
      </c>
      <c r="J23" s="283" t="str">
        <f>VLOOKUP("1A",データ入力用!$B$17:$J$50,3,FALSE)</f>
        <v>福岡　太郎</v>
      </c>
      <c r="K23" s="283" t="str">
        <f>VLOOKUP("1A",データ入力用!$B$17:$J$50,3,FALSE)</f>
        <v>福岡　太郎</v>
      </c>
      <c r="L23" s="283" t="str">
        <f>VLOOKUP("1A",データ入力用!$B$17:$J$50,3,FALSE)</f>
        <v>福岡　太郎</v>
      </c>
      <c r="M23" s="284" t="str">
        <f>VLOOKUP("1A",データ入力用!$B$17:$J$50,3,FALSE)</f>
        <v>福岡　太郎</v>
      </c>
      <c r="N23" s="5" t="s">
        <v>49</v>
      </c>
      <c r="O23" s="285" t="str">
        <f>IF(ISNA(VLOOKUP(5,データ入力用!$C$17:$J$116,8,FALSE)),"",VLOOKUP(5,データ入力用!$C$17:$J$116,8,FALSE))</f>
        <v/>
      </c>
      <c r="P23" s="286"/>
    </row>
    <row r="24" spans="1:16" ht="25.5" customHeight="1" x14ac:dyDescent="0.15">
      <c r="A24" s="237"/>
      <c r="B24" s="244"/>
      <c r="C24" s="245"/>
      <c r="D24" s="245"/>
      <c r="E24" s="245"/>
      <c r="F24" s="245"/>
      <c r="G24" s="246"/>
      <c r="H24" s="270"/>
      <c r="I24" s="278" t="str">
        <f>IF(ISNA(VLOOKUP(5,データ入力用!$C$17:$J$116,5,FALSE)),"",VLOOKUP(5,データ入力用!$C$17:$J$116,5,FALSE))</f>
        <v/>
      </c>
      <c r="J24" s="279" t="str">
        <f>VLOOKUP("1A",データ入力用!$B$17:$J$50,3,FALSE)</f>
        <v>福岡　太郎</v>
      </c>
      <c r="K24" s="279" t="str">
        <f>VLOOKUP("1A",データ入力用!$B$17:$J$50,3,FALSE)</f>
        <v>福岡　太郎</v>
      </c>
      <c r="L24" s="279" t="str">
        <f>VLOOKUP("1A",データ入力用!$B$17:$J$50,3,FALSE)</f>
        <v>福岡　太郎</v>
      </c>
      <c r="M24" s="280" t="str">
        <f>VLOOKUP("1A",データ入力用!$B$17:$J$50,3,FALSE)</f>
        <v>福岡　太郎</v>
      </c>
      <c r="N24" s="8" t="str">
        <f>IF(ISNA(VLOOKUP(5,データ入力用!$C$17:$J$116,7,FALSE)),"",VLOOKUP(5,データ入力用!$C$17:$J$116,7,FALSE))</f>
        <v/>
      </c>
      <c r="O24" s="276"/>
      <c r="P24" s="277"/>
    </row>
    <row r="25" spans="1:16" ht="25.5" customHeight="1" x14ac:dyDescent="0.15">
      <c r="A25" s="236">
        <v>6</v>
      </c>
      <c r="B25" s="247" t="str">
        <f>IF(ISNA(VLOOKUP(6,データ入力用!$C$17:$J$116,2,FALSE)),"",VLOOKUP(6,データ入力用!$C$17:$J$116,2,FALSE))</f>
        <v/>
      </c>
      <c r="C25" s="248"/>
      <c r="D25" s="248"/>
      <c r="E25" s="248"/>
      <c r="F25" s="248"/>
      <c r="G25" s="249"/>
      <c r="H25" s="269" t="str">
        <f>IF(ISNA(VLOOKUP(6,データ入力用!$C$17:$J$116,3,FALSE)),"",VLOOKUP(6,データ入力用!$C$17:$J$116,3,FALSE))</f>
        <v/>
      </c>
      <c r="I25" s="271" t="str">
        <f>IF(ISNA(VLOOKUP(6,データ入力用!$C$17:$J$116,4,FALSE)),"",VLOOKUP(6,データ入力用!$C$17:$J$116,4,FALSE))</f>
        <v/>
      </c>
      <c r="J25" s="272" t="str">
        <f>VLOOKUP("1A",データ入力用!$B$17:$J$50,3,FALSE)</f>
        <v>福岡　太郎</v>
      </c>
      <c r="K25" s="272" t="str">
        <f>VLOOKUP("1A",データ入力用!$B$17:$J$50,3,FALSE)</f>
        <v>福岡　太郎</v>
      </c>
      <c r="L25" s="272" t="str">
        <f>VLOOKUP("1A",データ入力用!$B$17:$J$50,3,FALSE)</f>
        <v>福岡　太郎</v>
      </c>
      <c r="M25" s="273" t="str">
        <f>VLOOKUP("1A",データ入力用!$B$17:$J$50,3,FALSE)</f>
        <v>福岡　太郎</v>
      </c>
      <c r="N25" s="16" t="s">
        <v>49</v>
      </c>
      <c r="O25" s="274" t="str">
        <f>IF(ISNA(VLOOKUP(6,データ入力用!$C$17:$J$116,8,FALSE)),"",VLOOKUP(6,データ入力用!$C$17:$J$116,8,FALSE))</f>
        <v/>
      </c>
      <c r="P25" s="275"/>
    </row>
    <row r="26" spans="1:16" ht="25.5" customHeight="1" x14ac:dyDescent="0.15">
      <c r="A26" s="237"/>
      <c r="B26" s="244"/>
      <c r="C26" s="245"/>
      <c r="D26" s="245"/>
      <c r="E26" s="245"/>
      <c r="F26" s="245"/>
      <c r="G26" s="246"/>
      <c r="H26" s="270"/>
      <c r="I26" s="278" t="str">
        <f>IF(ISNA(VLOOKUP(6,データ入力用!$C$17:$J$116,5,FALSE)),"",VLOOKUP(6,データ入力用!$C$17:$J$116,5,FALSE))</f>
        <v/>
      </c>
      <c r="J26" s="279" t="str">
        <f>VLOOKUP("1A",データ入力用!$B$17:$J$50,3,FALSE)</f>
        <v>福岡　太郎</v>
      </c>
      <c r="K26" s="279" t="str">
        <f>VLOOKUP("1A",データ入力用!$B$17:$J$50,3,FALSE)</f>
        <v>福岡　太郎</v>
      </c>
      <c r="L26" s="279" t="str">
        <f>VLOOKUP("1A",データ入力用!$B$17:$J$50,3,FALSE)</f>
        <v>福岡　太郎</v>
      </c>
      <c r="M26" s="280" t="str">
        <f>VLOOKUP("1A",データ入力用!$B$17:$J$50,3,FALSE)</f>
        <v>福岡　太郎</v>
      </c>
      <c r="N26" s="6" t="str">
        <f>IF(ISNA(VLOOKUP(6,データ入力用!$C$17:$J$116,7,FALSE)),"",VLOOKUP(6,データ入力用!$C$17:$J$116,7,FALSE))</f>
        <v/>
      </c>
      <c r="O26" s="276"/>
      <c r="P26" s="277"/>
    </row>
    <row r="27" spans="1:16" ht="25.5" customHeight="1" x14ac:dyDescent="0.15">
      <c r="A27" s="236">
        <v>7</v>
      </c>
      <c r="B27" s="241" t="str">
        <f>IF(ISNA(VLOOKUP(7,データ入力用!$C$17:$J$116,2,FALSE)),"",VLOOKUP(7,データ入力用!$C$17:$J$116,2,FALSE))</f>
        <v/>
      </c>
      <c r="C27" s="242"/>
      <c r="D27" s="242"/>
      <c r="E27" s="242"/>
      <c r="F27" s="242"/>
      <c r="G27" s="243"/>
      <c r="H27" s="281" t="str">
        <f>IF(ISNA(VLOOKUP(7,データ入力用!$C$17:$J$116,3,FALSE)),"",VLOOKUP(7,データ入力用!$C$17:$J$116,3,FALSE))</f>
        <v/>
      </c>
      <c r="I27" s="282" t="str">
        <f>IF(ISNA(VLOOKUP(7,データ入力用!$C$17:$J$116,4,FALSE)),"",VLOOKUP(7,データ入力用!$C$17:$J$116,4,FALSE))</f>
        <v/>
      </c>
      <c r="J27" s="283" t="str">
        <f>VLOOKUP("1A",データ入力用!$B$17:$J$50,3,FALSE)</f>
        <v>福岡　太郎</v>
      </c>
      <c r="K27" s="283" t="str">
        <f>VLOOKUP("1A",データ入力用!$B$17:$J$50,3,FALSE)</f>
        <v>福岡　太郎</v>
      </c>
      <c r="L27" s="283" t="str">
        <f>VLOOKUP("1A",データ入力用!$B$17:$J$50,3,FALSE)</f>
        <v>福岡　太郎</v>
      </c>
      <c r="M27" s="284" t="str">
        <f>VLOOKUP("1A",データ入力用!$B$17:$J$50,3,FALSE)</f>
        <v>福岡　太郎</v>
      </c>
      <c r="N27" s="5" t="s">
        <v>49</v>
      </c>
      <c r="O27" s="285" t="str">
        <f>IF(ISNA(VLOOKUP(7,データ入力用!$C$17:$J$116,8,FALSE)),"",VLOOKUP(7,データ入力用!$C$17:$J$116,8,FALSE))</f>
        <v/>
      </c>
      <c r="P27" s="286"/>
    </row>
    <row r="28" spans="1:16" ht="25.5" customHeight="1" x14ac:dyDescent="0.15">
      <c r="A28" s="237"/>
      <c r="B28" s="244"/>
      <c r="C28" s="245"/>
      <c r="D28" s="245"/>
      <c r="E28" s="245"/>
      <c r="F28" s="245"/>
      <c r="G28" s="246"/>
      <c r="H28" s="270"/>
      <c r="I28" s="278" t="str">
        <f>IF(ISNA(VLOOKUP(7,データ入力用!$C$17:$J$116,5,FALSE)),"",VLOOKUP(7,データ入力用!$C$17:$J$116,5,FALSE))</f>
        <v/>
      </c>
      <c r="J28" s="279" t="str">
        <f>VLOOKUP("1A",データ入力用!$B$17:$J$50,3,FALSE)</f>
        <v>福岡　太郎</v>
      </c>
      <c r="K28" s="279" t="str">
        <f>VLOOKUP("1A",データ入力用!$B$17:$J$50,3,FALSE)</f>
        <v>福岡　太郎</v>
      </c>
      <c r="L28" s="279" t="str">
        <f>VLOOKUP("1A",データ入力用!$B$17:$J$50,3,FALSE)</f>
        <v>福岡　太郎</v>
      </c>
      <c r="M28" s="280" t="str">
        <f>VLOOKUP("1A",データ入力用!$B$17:$J$50,3,FALSE)</f>
        <v>福岡　太郎</v>
      </c>
      <c r="N28" s="8" t="str">
        <f>IF(ISNA(VLOOKUP(7,データ入力用!$C$17:$J$116,7,FALSE)),"",VLOOKUP(7,データ入力用!$C$17:$J$116,7,FALSE))</f>
        <v/>
      </c>
      <c r="O28" s="276"/>
      <c r="P28" s="277"/>
    </row>
    <row r="29" spans="1:16" ht="25.5" customHeight="1" x14ac:dyDescent="0.15">
      <c r="A29" s="236">
        <v>8</v>
      </c>
      <c r="B29" s="247" t="str">
        <f>IF(ISNA(VLOOKUP(8,データ入力用!$C$17:$J$116,2,FALSE)),"",VLOOKUP(8,データ入力用!$C$17:$J$116,2,FALSE))</f>
        <v/>
      </c>
      <c r="C29" s="248"/>
      <c r="D29" s="248"/>
      <c r="E29" s="248"/>
      <c r="F29" s="248"/>
      <c r="G29" s="249"/>
      <c r="H29" s="269" t="str">
        <f>IF(ISNA(VLOOKUP(8,データ入力用!$C$17:$J$116,3,FALSE)),"",VLOOKUP(8,データ入力用!$C$17:$J$116,3,FALSE))</f>
        <v/>
      </c>
      <c r="I29" s="271" t="str">
        <f>IF(ISNA(VLOOKUP(8,データ入力用!$C$17:$J$116,4,FALSE)),"",VLOOKUP(8,データ入力用!$C$17:$J$116,4,FALSE))</f>
        <v/>
      </c>
      <c r="J29" s="272" t="str">
        <f>VLOOKUP("1A",データ入力用!$B$17:$J$50,3,FALSE)</f>
        <v>福岡　太郎</v>
      </c>
      <c r="K29" s="272" t="str">
        <f>VLOOKUP("1A",データ入力用!$B$17:$J$50,3,FALSE)</f>
        <v>福岡　太郎</v>
      </c>
      <c r="L29" s="272" t="str">
        <f>VLOOKUP("1A",データ入力用!$B$17:$J$50,3,FALSE)</f>
        <v>福岡　太郎</v>
      </c>
      <c r="M29" s="273" t="str">
        <f>VLOOKUP("1A",データ入力用!$B$17:$J$50,3,FALSE)</f>
        <v>福岡　太郎</v>
      </c>
      <c r="N29" s="16" t="s">
        <v>49</v>
      </c>
      <c r="O29" s="274" t="str">
        <f>IF(ISNA(VLOOKUP(8,データ入力用!$C$17:$J$116,8,FALSE)),"",VLOOKUP(8,データ入力用!$C$17:$J$116,8,FALSE))</f>
        <v/>
      </c>
      <c r="P29" s="275"/>
    </row>
    <row r="30" spans="1:16" ht="25.5" customHeight="1" thickBot="1" x14ac:dyDescent="0.2">
      <c r="A30" s="237"/>
      <c r="B30" s="244"/>
      <c r="C30" s="245"/>
      <c r="D30" s="245"/>
      <c r="E30" s="245"/>
      <c r="F30" s="245"/>
      <c r="G30" s="246"/>
      <c r="H30" s="270"/>
      <c r="I30" s="278" t="str">
        <f>IF(ISNA(VLOOKUP(8,データ入力用!$C$17:$J$116,5,FALSE)),"",VLOOKUP(8,データ入力用!$C$17:$J$116,5,FALSE))</f>
        <v/>
      </c>
      <c r="J30" s="279" t="str">
        <f>VLOOKUP("1A",データ入力用!$B$17:$J$50,3,FALSE)</f>
        <v>福岡　太郎</v>
      </c>
      <c r="K30" s="279" t="str">
        <f>VLOOKUP("1A",データ入力用!$B$17:$J$50,3,FALSE)</f>
        <v>福岡　太郎</v>
      </c>
      <c r="L30" s="279" t="str">
        <f>VLOOKUP("1A",データ入力用!$B$17:$J$50,3,FALSE)</f>
        <v>福岡　太郎</v>
      </c>
      <c r="M30" s="280" t="str">
        <f>VLOOKUP("1A",データ入力用!$B$17:$J$50,3,FALSE)</f>
        <v>福岡　太郎</v>
      </c>
      <c r="N30" s="8" t="str">
        <f>IF(ISNA(VLOOKUP(8,データ入力用!$C$17:$J$116,7,FALSE)),"",VLOOKUP(8,データ入力用!$C$17:$J$116,7,FALSE))</f>
        <v/>
      </c>
      <c r="O30" s="276"/>
      <c r="P30" s="277"/>
    </row>
    <row r="31" spans="1:16" ht="9" customHeight="1" x14ac:dyDescent="0.15"/>
    <row r="32" spans="1:16" ht="13.5" customHeight="1" x14ac:dyDescent="0.15">
      <c r="B32" s="255" t="s">
        <v>95</v>
      </c>
      <c r="C32" s="255"/>
      <c r="D32" s="255"/>
      <c r="E32" s="255"/>
      <c r="F32" s="255"/>
      <c r="G32" s="255"/>
      <c r="H32" s="255"/>
      <c r="I32" s="255"/>
      <c r="J32" s="255"/>
      <c r="K32" s="255"/>
      <c r="L32" s="255"/>
      <c r="M32" s="255"/>
      <c r="N32" s="255"/>
      <c r="O32" s="255"/>
      <c r="P32" s="255"/>
    </row>
    <row r="33" spans="1:16" x14ac:dyDescent="0.15">
      <c r="B33" s="255"/>
      <c r="C33" s="255"/>
      <c r="D33" s="255"/>
      <c r="E33" s="255"/>
      <c r="F33" s="255"/>
      <c r="G33" s="255"/>
      <c r="H33" s="255"/>
      <c r="I33" s="255"/>
      <c r="J33" s="255"/>
      <c r="K33" s="255"/>
      <c r="L33" s="255"/>
      <c r="M33" s="255"/>
      <c r="N33" s="255"/>
      <c r="O33" s="255"/>
      <c r="P33" s="255"/>
    </row>
    <row r="34" spans="1:16" x14ac:dyDescent="0.15">
      <c r="B34" s="255"/>
      <c r="C34" s="255"/>
      <c r="D34" s="255"/>
      <c r="E34" s="255"/>
      <c r="F34" s="255"/>
      <c r="G34" s="255"/>
      <c r="H34" s="255"/>
      <c r="I34" s="255"/>
      <c r="J34" s="255"/>
      <c r="K34" s="255"/>
      <c r="L34" s="255"/>
      <c r="M34" s="255"/>
      <c r="N34" s="255"/>
      <c r="O34" s="255"/>
      <c r="P34" s="255"/>
    </row>
    <row r="35" spans="1:16" ht="8.25" customHeight="1" x14ac:dyDescent="0.15"/>
    <row r="36" spans="1:16" ht="15" customHeight="1" x14ac:dyDescent="0.15">
      <c r="B36" s="87" t="s">
        <v>84</v>
      </c>
    </row>
    <row r="37" spans="1:16" ht="15" customHeight="1" x14ac:dyDescent="0.15">
      <c r="B37" t="s">
        <v>85</v>
      </c>
    </row>
    <row r="38" spans="1:16" ht="15" customHeight="1" x14ac:dyDescent="0.15"/>
    <row r="39" spans="1:16" ht="20.100000000000001" customHeight="1" thickBot="1" x14ac:dyDescent="0.2">
      <c r="B39" s="97" t="s">
        <v>86</v>
      </c>
      <c r="C39" s="97"/>
      <c r="D39" s="97"/>
    </row>
    <row r="40" spans="1:16" ht="20.100000000000001" customHeight="1" thickBot="1" x14ac:dyDescent="0.2">
      <c r="B40" s="292" t="s">
        <v>87</v>
      </c>
      <c r="C40" s="293"/>
      <c r="D40" s="293"/>
      <c r="E40" s="292" t="s">
        <v>88</v>
      </c>
      <c r="F40" s="294"/>
    </row>
    <row r="41" spans="1:16" ht="15" customHeight="1" x14ac:dyDescent="0.15">
      <c r="B41" s="98"/>
      <c r="C41" s="98"/>
      <c r="D41" s="98"/>
    </row>
    <row r="42" spans="1:16" x14ac:dyDescent="0.15">
      <c r="C42" s="256">
        <f ca="1">NOW()</f>
        <v>44323.515230324076</v>
      </c>
      <c r="D42" s="256"/>
      <c r="E42" s="256"/>
    </row>
    <row r="43" spans="1:16" ht="24" customHeight="1" x14ac:dyDescent="0.15">
      <c r="F43" s="232" t="str">
        <f>IF(データ入力用!B5="","",データ入力用!B5)&amp;"長"</f>
        <v>長</v>
      </c>
      <c r="G43" s="232"/>
      <c r="H43" s="232"/>
      <c r="I43" s="232"/>
      <c r="J43" s="232"/>
      <c r="K43" s="232"/>
      <c r="L43" s="232"/>
      <c r="M43" s="232"/>
      <c r="N43" s="235" t="str">
        <f>IF(データ入力用!C6="","",データ入力用!C6)&amp;"       　印"</f>
        <v xml:space="preserve">       　印</v>
      </c>
      <c r="O43" s="235"/>
      <c r="P43" s="235"/>
    </row>
    <row r="45" spans="1:16" ht="14.25" thickBot="1" x14ac:dyDescent="0.2"/>
    <row r="46" spans="1:16" x14ac:dyDescent="0.15">
      <c r="A46" s="107" t="s">
        <v>53</v>
      </c>
      <c r="B46" s="108" t="s">
        <v>61</v>
      </c>
      <c r="C46" s="109"/>
      <c r="D46" s="109"/>
      <c r="E46" s="109"/>
      <c r="F46" s="109"/>
      <c r="G46" s="109"/>
      <c r="H46" s="109"/>
      <c r="I46" s="109"/>
      <c r="J46" s="109"/>
      <c r="K46" s="109"/>
      <c r="L46" s="109"/>
      <c r="M46" s="109"/>
      <c r="N46" s="110"/>
    </row>
    <row r="47" spans="1:16" x14ac:dyDescent="0.15">
      <c r="A47" s="111" t="s">
        <v>55</v>
      </c>
      <c r="B47" s="112" t="s">
        <v>56</v>
      </c>
      <c r="C47" s="113"/>
      <c r="D47" s="113"/>
      <c r="E47" s="113"/>
      <c r="F47" s="113"/>
      <c r="G47" s="113"/>
      <c r="H47" s="113"/>
      <c r="I47" s="113"/>
      <c r="J47" s="113"/>
      <c r="K47" s="113"/>
      <c r="L47" s="113"/>
      <c r="M47" s="113"/>
      <c r="N47" s="114"/>
      <c r="P47" s="38" t="s">
        <v>57</v>
      </c>
    </row>
    <row r="48" spans="1:16" ht="14.25" thickBot="1" x14ac:dyDescent="0.2">
      <c r="A48" s="115" t="s">
        <v>58</v>
      </c>
      <c r="B48" s="116" t="s">
        <v>59</v>
      </c>
      <c r="C48" s="117"/>
      <c r="D48" s="117"/>
      <c r="E48" s="117"/>
      <c r="F48" s="117"/>
      <c r="G48" s="117"/>
      <c r="H48" s="117"/>
      <c r="I48" s="117"/>
      <c r="J48" s="117"/>
      <c r="K48" s="117"/>
      <c r="L48" s="117"/>
      <c r="M48" s="117"/>
      <c r="N48" s="118"/>
    </row>
  </sheetData>
  <mergeCells count="82">
    <mergeCell ref="B40:D40"/>
    <mergeCell ref="E40:F40"/>
    <mergeCell ref="A2:P2"/>
    <mergeCell ref="A4:P4"/>
    <mergeCell ref="A5:P5"/>
    <mergeCell ref="A6:C6"/>
    <mergeCell ref="D6:E6"/>
    <mergeCell ref="A3:P3"/>
    <mergeCell ref="I14:N14"/>
    <mergeCell ref="O14:P14"/>
    <mergeCell ref="A11:A12"/>
    <mergeCell ref="G11:I11"/>
    <mergeCell ref="M7:P7"/>
    <mergeCell ref="M8:P8"/>
    <mergeCell ref="A9:C9"/>
    <mergeCell ref="G9:K9"/>
    <mergeCell ref="M9:P9"/>
    <mergeCell ref="A10:P10"/>
    <mergeCell ref="A7:A8"/>
    <mergeCell ref="B7:C8"/>
    <mergeCell ref="D7:D8"/>
    <mergeCell ref="E7:K8"/>
    <mergeCell ref="L7:L9"/>
    <mergeCell ref="H15:H16"/>
    <mergeCell ref="I15:M15"/>
    <mergeCell ref="O15:P16"/>
    <mergeCell ref="I16:M16"/>
    <mergeCell ref="H17:H18"/>
    <mergeCell ref="I17:M17"/>
    <mergeCell ref="O17:P18"/>
    <mergeCell ref="I18:M18"/>
    <mergeCell ref="H19:H20"/>
    <mergeCell ref="I19:M19"/>
    <mergeCell ref="O19:P20"/>
    <mergeCell ref="I20:M20"/>
    <mergeCell ref="H21:H22"/>
    <mergeCell ref="I21:M21"/>
    <mergeCell ref="O21:P22"/>
    <mergeCell ref="I22:M22"/>
    <mergeCell ref="B21:G22"/>
    <mergeCell ref="H23:H24"/>
    <mergeCell ref="I23:M23"/>
    <mergeCell ref="O23:P24"/>
    <mergeCell ref="I24:M24"/>
    <mergeCell ref="H25:H26"/>
    <mergeCell ref="I26:M26"/>
    <mergeCell ref="H27:H28"/>
    <mergeCell ref="I27:M27"/>
    <mergeCell ref="O27:P28"/>
    <mergeCell ref="I28:M28"/>
    <mergeCell ref="B32:P34"/>
    <mergeCell ref="C42:E42"/>
    <mergeCell ref="F43:M43"/>
    <mergeCell ref="N43:P43"/>
    <mergeCell ref="B11:F11"/>
    <mergeCell ref="B12:F12"/>
    <mergeCell ref="J11:P12"/>
    <mergeCell ref="B15:G16"/>
    <mergeCell ref="B17:G18"/>
    <mergeCell ref="B19:G20"/>
    <mergeCell ref="H29:H30"/>
    <mergeCell ref="I29:M29"/>
    <mergeCell ref="O29:P30"/>
    <mergeCell ref="I30:M30"/>
    <mergeCell ref="I25:M25"/>
    <mergeCell ref="O25:P26"/>
    <mergeCell ref="A27:A28"/>
    <mergeCell ref="A29:A30"/>
    <mergeCell ref="A1:C1"/>
    <mergeCell ref="B23:G24"/>
    <mergeCell ref="B25:G26"/>
    <mergeCell ref="B27:G28"/>
    <mergeCell ref="B29:G30"/>
    <mergeCell ref="A15:A16"/>
    <mergeCell ref="A17:A18"/>
    <mergeCell ref="A19:A20"/>
    <mergeCell ref="A21:A22"/>
    <mergeCell ref="A23:A24"/>
    <mergeCell ref="A25:A26"/>
    <mergeCell ref="G12:I12"/>
    <mergeCell ref="A13:P13"/>
    <mergeCell ref="B14:G14"/>
  </mergeCells>
  <phoneticPr fontId="19"/>
  <dataValidations count="1">
    <dataValidation type="list" allowBlank="1" showInputMessage="1" showErrorMessage="1" sqref="A1" xr:uid="{00000000-0002-0000-0300-000000000000}">
      <formula1>"全国,新人"</formula1>
    </dataValidation>
  </dataValidations>
  <pageMargins left="1.1023622047244095" right="0.70866141732283472" top="0.74803149606299213" bottom="0.74803149606299213" header="0.31496062992125984" footer="0.31496062992125984"/>
  <pageSetup paperSize="9" scale="87"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sheetPr>
  <dimension ref="A1:P58"/>
  <sheetViews>
    <sheetView view="pageBreakPreview" zoomScale="60" zoomScaleNormal="100" workbookViewId="0">
      <selection activeCell="I19" sqref="I19:M19"/>
    </sheetView>
  </sheetViews>
  <sheetFormatPr defaultRowHeight="13.5" x14ac:dyDescent="0.15"/>
  <cols>
    <col min="1" max="1" width="3.5" customWidth="1"/>
    <col min="2" max="2" width="3.125" customWidth="1"/>
    <col min="3" max="3" width="3.875" customWidth="1"/>
    <col min="4" max="4" width="6.125" customWidth="1"/>
    <col min="5" max="5" width="11.75" customWidth="1"/>
    <col min="6" max="6" width="4.875" customWidth="1"/>
    <col min="7" max="7" width="3.125" customWidth="1"/>
    <col min="8" max="8" width="4.625" customWidth="1"/>
    <col min="9" max="9" width="1.625" customWidth="1"/>
    <col min="10" max="10" width="4.125" customWidth="1"/>
    <col min="11" max="11" width="3.5" customWidth="1"/>
    <col min="12" max="12" width="3.125" customWidth="1"/>
    <col min="13" max="13" width="9.875" customWidth="1"/>
    <col min="14" max="14" width="6.125" customWidth="1"/>
    <col min="15" max="15" width="11.75" customWidth="1"/>
    <col min="16" max="16" width="10" customWidth="1"/>
  </cols>
  <sheetData>
    <row r="1" spans="1:16" ht="27" customHeight="1" x14ac:dyDescent="0.15">
      <c r="A1" s="238" t="s">
        <v>40</v>
      </c>
      <c r="B1" s="239"/>
      <c r="C1" s="240"/>
    </row>
    <row r="2" spans="1:16" ht="18.75" x14ac:dyDescent="0.15">
      <c r="A2" s="248" t="str">
        <f>IF($A$1="全九州",$A$56,IF($A$1="全国",$A$57,IF($A$1="新人",$A$58,"")))</f>
        <v>福岡県高等学校総合体育大会　ソフトテニス選手権大会　中部ブロック予選会</v>
      </c>
      <c r="B2" s="248"/>
      <c r="C2" s="248"/>
      <c r="D2" s="248"/>
      <c r="E2" s="248"/>
      <c r="F2" s="248"/>
      <c r="G2" s="248"/>
      <c r="H2" s="248"/>
      <c r="I2" s="248"/>
      <c r="J2" s="248"/>
      <c r="K2" s="248"/>
      <c r="L2" s="248"/>
      <c r="M2" s="248"/>
      <c r="N2" s="248"/>
      <c r="O2" s="248"/>
      <c r="P2" s="248"/>
    </row>
    <row r="3" spans="1:16" x14ac:dyDescent="0.15">
      <c r="A3" s="335" t="str">
        <f>IF($A$1="全九州",$B$56,IF($A$1="全国",$B$57,IF($A$1="新人",$B$58,"")))</f>
        <v>（ 兼 全国高等学校総合体育大会　ソフトテニス選手権大会　福岡県中部ブロック予選 ）</v>
      </c>
      <c r="B3" s="335"/>
      <c r="C3" s="335"/>
      <c r="D3" s="335"/>
      <c r="E3" s="335"/>
      <c r="F3" s="335"/>
      <c r="G3" s="335"/>
      <c r="H3" s="335"/>
      <c r="I3" s="335"/>
      <c r="J3" s="335"/>
      <c r="K3" s="335"/>
      <c r="L3" s="335"/>
      <c r="M3" s="335"/>
      <c r="N3" s="335"/>
      <c r="O3" s="335"/>
      <c r="P3" s="335"/>
    </row>
    <row r="4" spans="1:16" x14ac:dyDescent="0.15">
      <c r="A4" s="335" t="str">
        <f>IF($A$1="全国",$B$56,"")</f>
        <v>（ 兼 全九州高等学校体育大会　ソフトテニス競技　福岡県中部ブロック予選 ）</v>
      </c>
      <c r="B4" s="335"/>
      <c r="C4" s="335"/>
      <c r="D4" s="335"/>
      <c r="E4" s="335"/>
      <c r="F4" s="335"/>
      <c r="G4" s="335"/>
      <c r="H4" s="335"/>
      <c r="I4" s="335"/>
      <c r="J4" s="335"/>
      <c r="K4" s="335"/>
      <c r="L4" s="335"/>
      <c r="M4" s="335"/>
      <c r="N4" s="335"/>
      <c r="O4" s="335"/>
      <c r="P4" s="335"/>
    </row>
    <row r="5" spans="1:16" ht="29.25" customHeight="1" x14ac:dyDescent="0.15">
      <c r="A5" s="248" t="s">
        <v>41</v>
      </c>
      <c r="B5" s="248"/>
      <c r="C5" s="248"/>
      <c r="D5" s="248"/>
      <c r="E5" s="248"/>
      <c r="F5" s="248"/>
      <c r="G5" s="248"/>
      <c r="H5" s="248"/>
      <c r="I5" s="248"/>
      <c r="J5" s="248"/>
      <c r="K5" s="248"/>
      <c r="L5" s="248"/>
      <c r="M5" s="248"/>
      <c r="N5" s="248"/>
      <c r="O5" s="248"/>
      <c r="P5" s="248"/>
    </row>
    <row r="6" spans="1:16" ht="17.25" x14ac:dyDescent="0.15">
      <c r="A6" s="295" t="s">
        <v>28</v>
      </c>
      <c r="B6" s="295"/>
      <c r="C6" s="295"/>
      <c r="D6" s="296"/>
      <c r="E6" s="296"/>
      <c r="F6" s="9"/>
      <c r="G6" s="9"/>
      <c r="H6" s="9"/>
      <c r="I6" s="9"/>
      <c r="J6" s="9"/>
      <c r="K6" s="9"/>
      <c r="L6" s="9"/>
      <c r="M6" s="9"/>
      <c r="N6" s="9"/>
      <c r="O6" s="9"/>
      <c r="P6" s="9"/>
    </row>
    <row r="7" spans="1:16" ht="15" customHeight="1" x14ac:dyDescent="0.15">
      <c r="A7" s="340" t="s">
        <v>62</v>
      </c>
      <c r="B7" s="341"/>
      <c r="C7" s="342"/>
      <c r="D7" s="287" t="s">
        <v>19</v>
      </c>
      <c r="E7" s="336" t="s">
        <v>63</v>
      </c>
      <c r="F7" s="336"/>
      <c r="G7" s="336"/>
      <c r="H7" s="336"/>
      <c r="I7" s="336"/>
      <c r="J7" s="336"/>
      <c r="K7" s="337"/>
      <c r="L7" s="289" t="s">
        <v>20</v>
      </c>
      <c r="M7" s="325" t="s">
        <v>64</v>
      </c>
      <c r="N7" s="326"/>
      <c r="O7" s="326"/>
      <c r="P7" s="327"/>
    </row>
    <row r="8" spans="1:16" ht="18.75" customHeight="1" x14ac:dyDescent="0.15">
      <c r="A8" s="209" t="s">
        <v>65</v>
      </c>
      <c r="B8" s="343"/>
      <c r="C8" s="207"/>
      <c r="D8" s="288"/>
      <c r="E8" s="338"/>
      <c r="F8" s="338"/>
      <c r="G8" s="338"/>
      <c r="H8" s="338"/>
      <c r="I8" s="338"/>
      <c r="J8" s="338"/>
      <c r="K8" s="339"/>
      <c r="L8" s="290"/>
      <c r="M8" s="328" t="s">
        <v>63</v>
      </c>
      <c r="N8" s="329"/>
      <c r="O8" s="329"/>
      <c r="P8" s="330"/>
    </row>
    <row r="9" spans="1:16" ht="26.25" customHeight="1" x14ac:dyDescent="0.15">
      <c r="A9" s="301" t="s">
        <v>22</v>
      </c>
      <c r="B9" s="302"/>
      <c r="C9" s="302"/>
      <c r="D9" s="12" t="s">
        <v>23</v>
      </c>
      <c r="E9" s="11"/>
      <c r="F9" s="12" t="s">
        <v>24</v>
      </c>
      <c r="G9" s="331"/>
      <c r="H9" s="331"/>
      <c r="I9" s="331"/>
      <c r="J9" s="331"/>
      <c r="K9" s="250"/>
      <c r="L9" s="291"/>
      <c r="M9" s="332" t="s">
        <v>66</v>
      </c>
      <c r="N9" s="333"/>
      <c r="O9" s="333"/>
      <c r="P9" s="334"/>
    </row>
    <row r="10" spans="1:16" ht="24.75" customHeight="1" x14ac:dyDescent="0.2">
      <c r="A10" s="253" t="s">
        <v>25</v>
      </c>
      <c r="B10" s="253"/>
      <c r="C10" s="253"/>
      <c r="D10" s="253"/>
      <c r="E10" s="253"/>
      <c r="F10" s="253"/>
      <c r="G10" s="253"/>
      <c r="H10" s="253"/>
      <c r="I10" s="253"/>
      <c r="J10" s="253"/>
      <c r="K10" s="253"/>
      <c r="L10" s="253"/>
      <c r="M10" s="253"/>
      <c r="N10" s="253"/>
      <c r="O10" s="253"/>
      <c r="P10" s="253"/>
    </row>
    <row r="11" spans="1:16" x14ac:dyDescent="0.15">
      <c r="A11" s="289" t="s">
        <v>29</v>
      </c>
      <c r="B11" s="348" t="s">
        <v>42</v>
      </c>
      <c r="C11" s="287" t="s">
        <v>43</v>
      </c>
      <c r="D11" s="287"/>
      <c r="E11" s="287"/>
      <c r="F11" s="287"/>
      <c r="G11" s="350" t="s">
        <v>67</v>
      </c>
      <c r="H11" s="351"/>
      <c r="I11" s="352"/>
      <c r="K11" s="289" t="s">
        <v>30</v>
      </c>
      <c r="L11" s="348" t="s">
        <v>42</v>
      </c>
      <c r="M11" s="287" t="s">
        <v>24</v>
      </c>
      <c r="N11" s="287"/>
      <c r="O11" s="287"/>
      <c r="P11" s="88" t="s">
        <v>67</v>
      </c>
    </row>
    <row r="12" spans="1:16" ht="31.5" customHeight="1" x14ac:dyDescent="0.15">
      <c r="A12" s="291"/>
      <c r="B12" s="349"/>
      <c r="C12" s="344"/>
      <c r="D12" s="344"/>
      <c r="E12" s="344"/>
      <c r="F12" s="344"/>
      <c r="G12" s="345" t="s">
        <v>68</v>
      </c>
      <c r="H12" s="346"/>
      <c r="I12" s="347"/>
      <c r="K12" s="291"/>
      <c r="L12" s="349"/>
      <c r="M12" s="344"/>
      <c r="N12" s="344"/>
      <c r="O12" s="344"/>
      <c r="P12" s="13" t="s">
        <v>68</v>
      </c>
    </row>
    <row r="13" spans="1:16" ht="27" customHeight="1" x14ac:dyDescent="0.2">
      <c r="A13" s="253" t="s">
        <v>44</v>
      </c>
      <c r="B13" s="253"/>
      <c r="C13" s="253"/>
      <c r="D13" s="253"/>
      <c r="E13" s="253"/>
      <c r="F13" s="253"/>
      <c r="G13" s="253"/>
      <c r="H13" s="253"/>
      <c r="I13" s="253"/>
      <c r="J13" s="253"/>
      <c r="K13" s="253"/>
      <c r="L13" s="253"/>
      <c r="M13" s="253"/>
      <c r="N13" s="253"/>
      <c r="O13" s="253"/>
      <c r="P13" s="253"/>
    </row>
    <row r="14" spans="1:16" ht="17.25" customHeight="1" x14ac:dyDescent="0.15">
      <c r="A14" s="2"/>
      <c r="B14" s="254" t="s">
        <v>45</v>
      </c>
      <c r="C14" s="254"/>
      <c r="D14" s="254"/>
      <c r="E14" s="254"/>
      <c r="F14" s="254"/>
      <c r="G14" s="254"/>
      <c r="H14" s="3" t="s">
        <v>35</v>
      </c>
      <c r="I14" s="297" t="s">
        <v>46</v>
      </c>
      <c r="J14" s="254"/>
      <c r="K14" s="254"/>
      <c r="L14" s="254"/>
      <c r="M14" s="254"/>
      <c r="N14" s="298"/>
      <c r="O14" s="299" t="s">
        <v>47</v>
      </c>
      <c r="P14" s="298"/>
    </row>
    <row r="15" spans="1:16" ht="18.75" customHeight="1" x14ac:dyDescent="0.15">
      <c r="A15" s="306">
        <v>1</v>
      </c>
      <c r="B15" s="287" t="s">
        <v>48</v>
      </c>
      <c r="C15" s="309" t="s">
        <v>63</v>
      </c>
      <c r="D15" s="309"/>
      <c r="E15" s="309"/>
      <c r="F15" s="309"/>
      <c r="G15" s="309"/>
      <c r="H15" s="281" t="s">
        <v>63</v>
      </c>
      <c r="I15" s="353" t="s">
        <v>69</v>
      </c>
      <c r="J15" s="354"/>
      <c r="K15" s="354"/>
      <c r="L15" s="354"/>
      <c r="M15" s="354"/>
      <c r="N15" s="5" t="s">
        <v>49</v>
      </c>
      <c r="O15" s="315" t="s">
        <v>63</v>
      </c>
      <c r="P15" s="281"/>
    </row>
    <row r="16" spans="1:16" ht="18.75" customHeight="1" x14ac:dyDescent="0.15">
      <c r="A16" s="307"/>
      <c r="B16" s="288"/>
      <c r="C16" s="310"/>
      <c r="D16" s="310"/>
      <c r="E16" s="310"/>
      <c r="F16" s="310"/>
      <c r="G16" s="310"/>
      <c r="H16" s="311"/>
      <c r="I16" s="355" t="s">
        <v>69</v>
      </c>
      <c r="J16" s="356"/>
      <c r="K16" s="356"/>
      <c r="L16" s="356"/>
      <c r="M16" s="356"/>
      <c r="N16" s="14" t="s">
        <v>70</v>
      </c>
      <c r="O16" s="316"/>
      <c r="P16" s="311"/>
    </row>
    <row r="17" spans="1:16" ht="18.75" customHeight="1" x14ac:dyDescent="0.15">
      <c r="A17" s="307"/>
      <c r="B17" s="288" t="s">
        <v>50</v>
      </c>
      <c r="C17" s="310" t="s">
        <v>63</v>
      </c>
      <c r="D17" s="310"/>
      <c r="E17" s="310"/>
      <c r="F17" s="310"/>
      <c r="G17" s="310"/>
      <c r="H17" s="311" t="s">
        <v>63</v>
      </c>
      <c r="I17" s="321" t="s">
        <v>69</v>
      </c>
      <c r="J17" s="322"/>
      <c r="K17" s="322"/>
      <c r="L17" s="322"/>
      <c r="M17" s="323"/>
      <c r="N17" s="7" t="s">
        <v>49</v>
      </c>
      <c r="O17" s="316" t="s">
        <v>63</v>
      </c>
      <c r="P17" s="311"/>
    </row>
    <row r="18" spans="1:16" ht="18.75" customHeight="1" x14ac:dyDescent="0.15">
      <c r="A18" s="308"/>
      <c r="B18" s="302"/>
      <c r="C18" s="320"/>
      <c r="D18" s="320"/>
      <c r="E18" s="320"/>
      <c r="F18" s="320"/>
      <c r="G18" s="320"/>
      <c r="H18" s="270"/>
      <c r="I18" s="303" t="s">
        <v>69</v>
      </c>
      <c r="J18" s="304"/>
      <c r="K18" s="304"/>
      <c r="L18" s="304"/>
      <c r="M18" s="305"/>
      <c r="N18" s="14" t="s">
        <v>70</v>
      </c>
      <c r="O18" s="324"/>
      <c r="P18" s="270"/>
    </row>
    <row r="19" spans="1:16" ht="18.75" customHeight="1" x14ac:dyDescent="0.15">
      <c r="A19" s="306">
        <v>2</v>
      </c>
      <c r="B19" s="287" t="s">
        <v>48</v>
      </c>
      <c r="C19" s="309" t="s">
        <v>63</v>
      </c>
      <c r="D19" s="309"/>
      <c r="E19" s="309"/>
      <c r="F19" s="309"/>
      <c r="G19" s="309"/>
      <c r="H19" s="281" t="s">
        <v>63</v>
      </c>
      <c r="I19" s="312" t="s">
        <v>69</v>
      </c>
      <c r="J19" s="313"/>
      <c r="K19" s="313"/>
      <c r="L19" s="313"/>
      <c r="M19" s="314"/>
      <c r="N19" s="5" t="s">
        <v>49</v>
      </c>
      <c r="O19" s="315" t="s">
        <v>63</v>
      </c>
      <c r="P19" s="281"/>
    </row>
    <row r="20" spans="1:16" ht="18.75" customHeight="1" x14ac:dyDescent="0.15">
      <c r="A20" s="307"/>
      <c r="B20" s="288"/>
      <c r="C20" s="310"/>
      <c r="D20" s="310"/>
      <c r="E20" s="310"/>
      <c r="F20" s="310"/>
      <c r="G20" s="310"/>
      <c r="H20" s="311"/>
      <c r="I20" s="317" t="s">
        <v>69</v>
      </c>
      <c r="J20" s="318"/>
      <c r="K20" s="318"/>
      <c r="L20" s="318"/>
      <c r="M20" s="319"/>
      <c r="N20" s="14" t="s">
        <v>70</v>
      </c>
      <c r="O20" s="316"/>
      <c r="P20" s="311"/>
    </row>
    <row r="21" spans="1:16" ht="18.75" customHeight="1" x14ac:dyDescent="0.15">
      <c r="A21" s="307"/>
      <c r="B21" s="288" t="s">
        <v>50</v>
      </c>
      <c r="C21" s="310" t="s">
        <v>63</v>
      </c>
      <c r="D21" s="310"/>
      <c r="E21" s="310"/>
      <c r="F21" s="310"/>
      <c r="G21" s="310"/>
      <c r="H21" s="311" t="s">
        <v>63</v>
      </c>
      <c r="I21" s="321" t="s">
        <v>69</v>
      </c>
      <c r="J21" s="322"/>
      <c r="K21" s="322"/>
      <c r="L21" s="322"/>
      <c r="M21" s="323"/>
      <c r="N21" s="7" t="s">
        <v>49</v>
      </c>
      <c r="O21" s="316" t="s">
        <v>63</v>
      </c>
      <c r="P21" s="311"/>
    </row>
    <row r="22" spans="1:16" ht="18.75" customHeight="1" x14ac:dyDescent="0.15">
      <c r="A22" s="308"/>
      <c r="B22" s="302"/>
      <c r="C22" s="320"/>
      <c r="D22" s="320"/>
      <c r="E22" s="320"/>
      <c r="F22" s="320"/>
      <c r="G22" s="320"/>
      <c r="H22" s="270"/>
      <c r="I22" s="303" t="s">
        <v>69</v>
      </c>
      <c r="J22" s="304"/>
      <c r="K22" s="304"/>
      <c r="L22" s="304"/>
      <c r="M22" s="305"/>
      <c r="N22" s="14" t="s">
        <v>70</v>
      </c>
      <c r="O22" s="324"/>
      <c r="P22" s="270"/>
    </row>
    <row r="23" spans="1:16" ht="18.75" customHeight="1" x14ac:dyDescent="0.15">
      <c r="A23" s="306">
        <v>3</v>
      </c>
      <c r="B23" s="287" t="s">
        <v>48</v>
      </c>
      <c r="C23" s="309" t="s">
        <v>63</v>
      </c>
      <c r="D23" s="309"/>
      <c r="E23" s="309"/>
      <c r="F23" s="309"/>
      <c r="G23" s="309"/>
      <c r="H23" s="281" t="s">
        <v>63</v>
      </c>
      <c r="I23" s="312" t="s">
        <v>69</v>
      </c>
      <c r="J23" s="313"/>
      <c r="K23" s="313"/>
      <c r="L23" s="313"/>
      <c r="M23" s="314"/>
      <c r="N23" s="5" t="s">
        <v>49</v>
      </c>
      <c r="O23" s="315" t="s">
        <v>63</v>
      </c>
      <c r="P23" s="281"/>
    </row>
    <row r="24" spans="1:16" ht="18.75" customHeight="1" x14ac:dyDescent="0.15">
      <c r="A24" s="307"/>
      <c r="B24" s="288"/>
      <c r="C24" s="310"/>
      <c r="D24" s="310"/>
      <c r="E24" s="310"/>
      <c r="F24" s="310"/>
      <c r="G24" s="310"/>
      <c r="H24" s="311"/>
      <c r="I24" s="317" t="s">
        <v>69</v>
      </c>
      <c r="J24" s="318"/>
      <c r="K24" s="318"/>
      <c r="L24" s="318"/>
      <c r="M24" s="319"/>
      <c r="N24" s="14" t="s">
        <v>70</v>
      </c>
      <c r="O24" s="316"/>
      <c r="P24" s="311"/>
    </row>
    <row r="25" spans="1:16" ht="18.75" customHeight="1" x14ac:dyDescent="0.15">
      <c r="A25" s="307"/>
      <c r="B25" s="288" t="s">
        <v>50</v>
      </c>
      <c r="C25" s="310" t="s">
        <v>63</v>
      </c>
      <c r="D25" s="310"/>
      <c r="E25" s="310"/>
      <c r="F25" s="310"/>
      <c r="G25" s="310"/>
      <c r="H25" s="311" t="s">
        <v>63</v>
      </c>
      <c r="I25" s="321" t="s">
        <v>69</v>
      </c>
      <c r="J25" s="322"/>
      <c r="K25" s="322"/>
      <c r="L25" s="322"/>
      <c r="M25" s="323"/>
      <c r="N25" s="7" t="s">
        <v>49</v>
      </c>
      <c r="O25" s="316" t="s">
        <v>63</v>
      </c>
      <c r="P25" s="311"/>
    </row>
    <row r="26" spans="1:16" ht="18.75" customHeight="1" x14ac:dyDescent="0.15">
      <c r="A26" s="308"/>
      <c r="B26" s="302"/>
      <c r="C26" s="320"/>
      <c r="D26" s="320"/>
      <c r="E26" s="320"/>
      <c r="F26" s="320"/>
      <c r="G26" s="320"/>
      <c r="H26" s="270"/>
      <c r="I26" s="303" t="s">
        <v>69</v>
      </c>
      <c r="J26" s="304"/>
      <c r="K26" s="304"/>
      <c r="L26" s="304"/>
      <c r="M26" s="305"/>
      <c r="N26" s="14" t="s">
        <v>70</v>
      </c>
      <c r="O26" s="324"/>
      <c r="P26" s="270"/>
    </row>
    <row r="27" spans="1:16" ht="18.75" customHeight="1" x14ac:dyDescent="0.15">
      <c r="A27" s="306">
        <v>4</v>
      </c>
      <c r="B27" s="287" t="s">
        <v>48</v>
      </c>
      <c r="C27" s="309" t="s">
        <v>63</v>
      </c>
      <c r="D27" s="309"/>
      <c r="E27" s="309"/>
      <c r="F27" s="309"/>
      <c r="G27" s="309"/>
      <c r="H27" s="281" t="s">
        <v>63</v>
      </c>
      <c r="I27" s="312" t="s">
        <v>69</v>
      </c>
      <c r="J27" s="313"/>
      <c r="K27" s="313"/>
      <c r="L27" s="313"/>
      <c r="M27" s="314"/>
      <c r="N27" s="5" t="s">
        <v>49</v>
      </c>
      <c r="O27" s="315" t="s">
        <v>63</v>
      </c>
      <c r="P27" s="281"/>
    </row>
    <row r="28" spans="1:16" ht="18.75" customHeight="1" x14ac:dyDescent="0.15">
      <c r="A28" s="307"/>
      <c r="B28" s="288"/>
      <c r="C28" s="310"/>
      <c r="D28" s="310"/>
      <c r="E28" s="310"/>
      <c r="F28" s="310"/>
      <c r="G28" s="310"/>
      <c r="H28" s="311"/>
      <c r="I28" s="317" t="s">
        <v>69</v>
      </c>
      <c r="J28" s="318"/>
      <c r="K28" s="318"/>
      <c r="L28" s="318"/>
      <c r="M28" s="319"/>
      <c r="N28" s="14" t="s">
        <v>70</v>
      </c>
      <c r="O28" s="316"/>
      <c r="P28" s="311"/>
    </row>
    <row r="29" spans="1:16" ht="18.75" customHeight="1" x14ac:dyDescent="0.15">
      <c r="A29" s="307"/>
      <c r="B29" s="288" t="s">
        <v>50</v>
      </c>
      <c r="C29" s="310" t="s">
        <v>63</v>
      </c>
      <c r="D29" s="310"/>
      <c r="E29" s="310"/>
      <c r="F29" s="310"/>
      <c r="G29" s="310"/>
      <c r="H29" s="311" t="s">
        <v>63</v>
      </c>
      <c r="I29" s="321" t="s">
        <v>69</v>
      </c>
      <c r="J29" s="322"/>
      <c r="K29" s="322"/>
      <c r="L29" s="322"/>
      <c r="M29" s="323"/>
      <c r="N29" s="7" t="s">
        <v>49</v>
      </c>
      <c r="O29" s="316" t="s">
        <v>63</v>
      </c>
      <c r="P29" s="311"/>
    </row>
    <row r="30" spans="1:16" ht="18.75" customHeight="1" x14ac:dyDescent="0.15">
      <c r="A30" s="308"/>
      <c r="B30" s="302"/>
      <c r="C30" s="320"/>
      <c r="D30" s="320"/>
      <c r="E30" s="320"/>
      <c r="F30" s="320"/>
      <c r="G30" s="320"/>
      <c r="H30" s="270"/>
      <c r="I30" s="303" t="s">
        <v>69</v>
      </c>
      <c r="J30" s="304"/>
      <c r="K30" s="304"/>
      <c r="L30" s="304"/>
      <c r="M30" s="305"/>
      <c r="N30" s="14" t="s">
        <v>70</v>
      </c>
      <c r="O30" s="324"/>
      <c r="P30" s="270"/>
    </row>
    <row r="31" spans="1:16" ht="18.75" customHeight="1" x14ac:dyDescent="0.15">
      <c r="A31" s="306">
        <v>5</v>
      </c>
      <c r="B31" s="287" t="s">
        <v>48</v>
      </c>
      <c r="C31" s="309" t="s">
        <v>63</v>
      </c>
      <c r="D31" s="309"/>
      <c r="E31" s="309"/>
      <c r="F31" s="309"/>
      <c r="G31" s="309"/>
      <c r="H31" s="281" t="s">
        <v>63</v>
      </c>
      <c r="I31" s="312" t="s">
        <v>69</v>
      </c>
      <c r="J31" s="313"/>
      <c r="K31" s="313"/>
      <c r="L31" s="313"/>
      <c r="M31" s="314"/>
      <c r="N31" s="5" t="s">
        <v>49</v>
      </c>
      <c r="O31" s="315" t="s">
        <v>63</v>
      </c>
      <c r="P31" s="281"/>
    </row>
    <row r="32" spans="1:16" ht="18.75" customHeight="1" x14ac:dyDescent="0.15">
      <c r="A32" s="307"/>
      <c r="B32" s="288"/>
      <c r="C32" s="310"/>
      <c r="D32" s="310"/>
      <c r="E32" s="310"/>
      <c r="F32" s="310"/>
      <c r="G32" s="310"/>
      <c r="H32" s="311"/>
      <c r="I32" s="317" t="s">
        <v>69</v>
      </c>
      <c r="J32" s="318"/>
      <c r="K32" s="318"/>
      <c r="L32" s="318"/>
      <c r="M32" s="319"/>
      <c r="N32" s="14" t="s">
        <v>70</v>
      </c>
      <c r="O32" s="316"/>
      <c r="P32" s="311"/>
    </row>
    <row r="33" spans="1:16" ht="18.75" customHeight="1" x14ac:dyDescent="0.15">
      <c r="A33" s="307"/>
      <c r="B33" s="288" t="s">
        <v>50</v>
      </c>
      <c r="C33" s="310" t="s">
        <v>63</v>
      </c>
      <c r="D33" s="310"/>
      <c r="E33" s="310"/>
      <c r="F33" s="310"/>
      <c r="G33" s="310"/>
      <c r="H33" s="311" t="s">
        <v>63</v>
      </c>
      <c r="I33" s="321" t="s">
        <v>69</v>
      </c>
      <c r="J33" s="322"/>
      <c r="K33" s="322"/>
      <c r="L33" s="322"/>
      <c r="M33" s="323"/>
      <c r="N33" s="7" t="s">
        <v>49</v>
      </c>
      <c r="O33" s="316" t="s">
        <v>63</v>
      </c>
      <c r="P33" s="311"/>
    </row>
    <row r="34" spans="1:16" ht="18.75" customHeight="1" x14ac:dyDescent="0.15">
      <c r="A34" s="308"/>
      <c r="B34" s="302"/>
      <c r="C34" s="320"/>
      <c r="D34" s="320"/>
      <c r="E34" s="320"/>
      <c r="F34" s="320"/>
      <c r="G34" s="320"/>
      <c r="H34" s="270"/>
      <c r="I34" s="303" t="s">
        <v>69</v>
      </c>
      <c r="J34" s="304"/>
      <c r="K34" s="304"/>
      <c r="L34" s="304"/>
      <c r="M34" s="305"/>
      <c r="N34" s="14" t="s">
        <v>70</v>
      </c>
      <c r="O34" s="324"/>
      <c r="P34" s="270"/>
    </row>
    <row r="35" spans="1:16" ht="18.75" customHeight="1" x14ac:dyDescent="0.15">
      <c r="A35" s="306">
        <v>6</v>
      </c>
      <c r="B35" s="287" t="s">
        <v>48</v>
      </c>
      <c r="C35" s="309" t="s">
        <v>63</v>
      </c>
      <c r="D35" s="309"/>
      <c r="E35" s="309"/>
      <c r="F35" s="309"/>
      <c r="G35" s="309"/>
      <c r="H35" s="281" t="s">
        <v>63</v>
      </c>
      <c r="I35" s="312" t="s">
        <v>69</v>
      </c>
      <c r="J35" s="313"/>
      <c r="K35" s="313"/>
      <c r="L35" s="313"/>
      <c r="M35" s="314"/>
      <c r="N35" s="5" t="s">
        <v>49</v>
      </c>
      <c r="O35" s="315" t="s">
        <v>63</v>
      </c>
      <c r="P35" s="281"/>
    </row>
    <row r="36" spans="1:16" ht="18.75" customHeight="1" x14ac:dyDescent="0.15">
      <c r="A36" s="307"/>
      <c r="B36" s="288"/>
      <c r="C36" s="310"/>
      <c r="D36" s="310"/>
      <c r="E36" s="310"/>
      <c r="F36" s="310"/>
      <c r="G36" s="310"/>
      <c r="H36" s="311"/>
      <c r="I36" s="317" t="s">
        <v>69</v>
      </c>
      <c r="J36" s="318"/>
      <c r="K36" s="318"/>
      <c r="L36" s="318"/>
      <c r="M36" s="319"/>
      <c r="N36" s="14" t="s">
        <v>70</v>
      </c>
      <c r="O36" s="316"/>
      <c r="P36" s="311"/>
    </row>
    <row r="37" spans="1:16" ht="18.75" customHeight="1" x14ac:dyDescent="0.15">
      <c r="A37" s="307"/>
      <c r="B37" s="288" t="s">
        <v>50</v>
      </c>
      <c r="C37" s="310" t="s">
        <v>63</v>
      </c>
      <c r="D37" s="310"/>
      <c r="E37" s="310"/>
      <c r="F37" s="310"/>
      <c r="G37" s="310"/>
      <c r="H37" s="311" t="s">
        <v>63</v>
      </c>
      <c r="I37" s="321" t="s">
        <v>69</v>
      </c>
      <c r="J37" s="322"/>
      <c r="K37" s="322"/>
      <c r="L37" s="322"/>
      <c r="M37" s="323"/>
      <c r="N37" s="7" t="s">
        <v>49</v>
      </c>
      <c r="O37" s="316" t="s">
        <v>63</v>
      </c>
      <c r="P37" s="311"/>
    </row>
    <row r="38" spans="1:16" ht="18.75" customHeight="1" x14ac:dyDescent="0.15">
      <c r="A38" s="308"/>
      <c r="B38" s="302"/>
      <c r="C38" s="320"/>
      <c r="D38" s="320"/>
      <c r="E38" s="320"/>
      <c r="F38" s="320"/>
      <c r="G38" s="320"/>
      <c r="H38" s="270"/>
      <c r="I38" s="303" t="s">
        <v>69</v>
      </c>
      <c r="J38" s="304"/>
      <c r="K38" s="304"/>
      <c r="L38" s="304"/>
      <c r="M38" s="305"/>
      <c r="N38" s="15" t="s">
        <v>70</v>
      </c>
      <c r="O38" s="324"/>
      <c r="P38" s="270"/>
    </row>
    <row r="39" spans="1:16" ht="18.75" customHeight="1" x14ac:dyDescent="0.15">
      <c r="A39" s="306">
        <v>7</v>
      </c>
      <c r="B39" s="287" t="s">
        <v>48</v>
      </c>
      <c r="C39" s="309" t="s">
        <v>63</v>
      </c>
      <c r="D39" s="309"/>
      <c r="E39" s="309"/>
      <c r="F39" s="309"/>
      <c r="G39" s="309"/>
      <c r="H39" s="281" t="s">
        <v>63</v>
      </c>
      <c r="I39" s="312" t="s">
        <v>69</v>
      </c>
      <c r="J39" s="313"/>
      <c r="K39" s="313"/>
      <c r="L39" s="313"/>
      <c r="M39" s="314"/>
      <c r="N39" s="5" t="s">
        <v>49</v>
      </c>
      <c r="O39" s="315" t="s">
        <v>63</v>
      </c>
      <c r="P39" s="281"/>
    </row>
    <row r="40" spans="1:16" ht="18.75" customHeight="1" x14ac:dyDescent="0.15">
      <c r="A40" s="307"/>
      <c r="B40" s="288"/>
      <c r="C40" s="310"/>
      <c r="D40" s="310"/>
      <c r="E40" s="310"/>
      <c r="F40" s="310"/>
      <c r="G40" s="310"/>
      <c r="H40" s="311"/>
      <c r="I40" s="317" t="s">
        <v>69</v>
      </c>
      <c r="J40" s="318"/>
      <c r="K40" s="318"/>
      <c r="L40" s="318"/>
      <c r="M40" s="319"/>
      <c r="N40" s="14" t="s">
        <v>70</v>
      </c>
      <c r="O40" s="316"/>
      <c r="P40" s="311"/>
    </row>
    <row r="41" spans="1:16" ht="18.75" customHeight="1" x14ac:dyDescent="0.15">
      <c r="A41" s="307"/>
      <c r="B41" s="288" t="s">
        <v>50</v>
      </c>
      <c r="C41" s="310" t="s">
        <v>63</v>
      </c>
      <c r="D41" s="310"/>
      <c r="E41" s="310"/>
      <c r="F41" s="310"/>
      <c r="G41" s="310"/>
      <c r="H41" s="311" t="s">
        <v>63</v>
      </c>
      <c r="I41" s="321" t="s">
        <v>69</v>
      </c>
      <c r="J41" s="322"/>
      <c r="K41" s="322"/>
      <c r="L41" s="322"/>
      <c r="M41" s="323"/>
      <c r="N41" s="7" t="s">
        <v>49</v>
      </c>
      <c r="O41" s="316" t="s">
        <v>63</v>
      </c>
      <c r="P41" s="311"/>
    </row>
    <row r="42" spans="1:16" ht="18.75" customHeight="1" x14ac:dyDescent="0.15">
      <c r="A42" s="308"/>
      <c r="B42" s="302"/>
      <c r="C42" s="320"/>
      <c r="D42" s="320"/>
      <c r="E42" s="320"/>
      <c r="F42" s="320"/>
      <c r="G42" s="320"/>
      <c r="H42" s="270"/>
      <c r="I42" s="303" t="s">
        <v>69</v>
      </c>
      <c r="J42" s="304"/>
      <c r="K42" s="304"/>
      <c r="L42" s="304"/>
      <c r="M42" s="305"/>
      <c r="N42" s="15" t="s">
        <v>70</v>
      </c>
      <c r="O42" s="324"/>
      <c r="P42" s="270"/>
    </row>
    <row r="43" spans="1:16" ht="18.75" customHeight="1" x14ac:dyDescent="0.15">
      <c r="A43" s="306">
        <v>8</v>
      </c>
      <c r="B43" s="287" t="s">
        <v>48</v>
      </c>
      <c r="C43" s="309" t="s">
        <v>63</v>
      </c>
      <c r="D43" s="309"/>
      <c r="E43" s="309"/>
      <c r="F43" s="309"/>
      <c r="G43" s="309"/>
      <c r="H43" s="281" t="s">
        <v>63</v>
      </c>
      <c r="I43" s="312" t="s">
        <v>69</v>
      </c>
      <c r="J43" s="313"/>
      <c r="K43" s="313"/>
      <c r="L43" s="313"/>
      <c r="M43" s="314"/>
      <c r="N43" s="5" t="s">
        <v>49</v>
      </c>
      <c r="O43" s="315" t="s">
        <v>63</v>
      </c>
      <c r="P43" s="281"/>
    </row>
    <row r="44" spans="1:16" ht="18.75" customHeight="1" x14ac:dyDescent="0.15">
      <c r="A44" s="307"/>
      <c r="B44" s="288"/>
      <c r="C44" s="310"/>
      <c r="D44" s="310"/>
      <c r="E44" s="310"/>
      <c r="F44" s="310"/>
      <c r="G44" s="310"/>
      <c r="H44" s="311"/>
      <c r="I44" s="317" t="s">
        <v>69</v>
      </c>
      <c r="J44" s="318"/>
      <c r="K44" s="318"/>
      <c r="L44" s="318"/>
      <c r="M44" s="319"/>
      <c r="N44" s="14" t="s">
        <v>70</v>
      </c>
      <c r="O44" s="316"/>
      <c r="P44" s="311"/>
    </row>
    <row r="45" spans="1:16" ht="18.75" customHeight="1" x14ac:dyDescent="0.15">
      <c r="A45" s="307"/>
      <c r="B45" s="288" t="s">
        <v>50</v>
      </c>
      <c r="C45" s="310" t="s">
        <v>63</v>
      </c>
      <c r="D45" s="310"/>
      <c r="E45" s="310"/>
      <c r="F45" s="310"/>
      <c r="G45" s="310"/>
      <c r="H45" s="311" t="s">
        <v>63</v>
      </c>
      <c r="I45" s="321" t="s">
        <v>69</v>
      </c>
      <c r="J45" s="322"/>
      <c r="K45" s="322"/>
      <c r="L45" s="322"/>
      <c r="M45" s="323"/>
      <c r="N45" s="7" t="s">
        <v>49</v>
      </c>
      <c r="O45" s="316" t="s">
        <v>63</v>
      </c>
      <c r="P45" s="311"/>
    </row>
    <row r="46" spans="1:16" ht="18.75" customHeight="1" x14ac:dyDescent="0.15">
      <c r="A46" s="308"/>
      <c r="B46" s="302"/>
      <c r="C46" s="320"/>
      <c r="D46" s="320"/>
      <c r="E46" s="320"/>
      <c r="F46" s="320"/>
      <c r="G46" s="320"/>
      <c r="H46" s="270"/>
      <c r="I46" s="303" t="s">
        <v>69</v>
      </c>
      <c r="J46" s="304"/>
      <c r="K46" s="304"/>
      <c r="L46" s="304"/>
      <c r="M46" s="305"/>
      <c r="N46" s="15" t="s">
        <v>70</v>
      </c>
      <c r="O46" s="324"/>
      <c r="P46" s="270"/>
    </row>
    <row r="47" spans="1:16" x14ac:dyDescent="0.15">
      <c r="B47" s="4" t="s">
        <v>51</v>
      </c>
    </row>
    <row r="48" spans="1:16" ht="9" customHeight="1" x14ac:dyDescent="0.15"/>
    <row r="49" spans="1:16" ht="13.5" customHeight="1" x14ac:dyDescent="0.15">
      <c r="B49" s="255" t="s">
        <v>52</v>
      </c>
      <c r="C49" s="255"/>
      <c r="D49" s="255"/>
      <c r="E49" s="255"/>
      <c r="F49" s="255"/>
      <c r="G49" s="255"/>
      <c r="H49" s="255"/>
      <c r="I49" s="255"/>
      <c r="J49" s="255"/>
      <c r="K49" s="255"/>
      <c r="L49" s="255"/>
      <c r="M49" s="255"/>
      <c r="N49" s="255"/>
      <c r="O49" s="255"/>
      <c r="P49" s="255"/>
    </row>
    <row r="50" spans="1:16" x14ac:dyDescent="0.15">
      <c r="B50" s="255"/>
      <c r="C50" s="255"/>
      <c r="D50" s="255"/>
      <c r="E50" s="255"/>
      <c r="F50" s="255"/>
      <c r="G50" s="255"/>
      <c r="H50" s="255"/>
      <c r="I50" s="255"/>
      <c r="J50" s="255"/>
      <c r="K50" s="255"/>
      <c r="L50" s="255"/>
      <c r="M50" s="255"/>
      <c r="N50" s="255"/>
      <c r="O50" s="255"/>
      <c r="P50" s="255"/>
    </row>
    <row r="51" spans="1:16" x14ac:dyDescent="0.15">
      <c r="B51" s="255"/>
      <c r="C51" s="255"/>
      <c r="D51" s="255"/>
      <c r="E51" s="255"/>
      <c r="F51" s="255"/>
      <c r="G51" s="255"/>
      <c r="H51" s="255"/>
      <c r="I51" s="255"/>
      <c r="J51" s="255"/>
      <c r="K51" s="255"/>
      <c r="L51" s="255"/>
      <c r="M51" s="255"/>
      <c r="N51" s="255"/>
      <c r="O51" s="255"/>
      <c r="P51" s="255"/>
    </row>
    <row r="52" spans="1:16" ht="8.25" customHeight="1" x14ac:dyDescent="0.15"/>
    <row r="53" spans="1:16" ht="13.5" customHeight="1" x14ac:dyDescent="0.15">
      <c r="C53" s="234">
        <f ca="1">NOW()</f>
        <v>44323.515230324076</v>
      </c>
      <c r="D53" s="234"/>
      <c r="E53" s="234"/>
    </row>
    <row r="54" spans="1:16" ht="24" customHeight="1" x14ac:dyDescent="0.15">
      <c r="F54" s="357" t="s">
        <v>71</v>
      </c>
      <c r="G54" s="357"/>
      <c r="H54" s="357"/>
      <c r="I54" s="357"/>
      <c r="J54" s="357"/>
      <c r="K54" s="357"/>
      <c r="L54" s="357"/>
      <c r="M54" s="357"/>
      <c r="N54" s="358" t="s">
        <v>72</v>
      </c>
      <c r="O54" s="358"/>
      <c r="P54" s="358"/>
    </row>
    <row r="56" spans="1:16" x14ac:dyDescent="0.15">
      <c r="A56" s="32" t="s">
        <v>73</v>
      </c>
      <c r="B56" s="32" t="s">
        <v>74</v>
      </c>
    </row>
    <row r="57" spans="1:16" x14ac:dyDescent="0.15">
      <c r="A57" s="32" t="s">
        <v>75</v>
      </c>
      <c r="B57" s="32" t="s">
        <v>76</v>
      </c>
    </row>
    <row r="58" spans="1:16" x14ac:dyDescent="0.15">
      <c r="A58" s="32" t="s">
        <v>77</v>
      </c>
      <c r="B58" s="32" t="s">
        <v>78</v>
      </c>
    </row>
  </sheetData>
  <mergeCells count="140">
    <mergeCell ref="A1:C1"/>
    <mergeCell ref="B49:P51"/>
    <mergeCell ref="C53:E53"/>
    <mergeCell ref="F54:M54"/>
    <mergeCell ref="N54:P54"/>
    <mergeCell ref="B41:B42"/>
    <mergeCell ref="C41:G42"/>
    <mergeCell ref="H41:H42"/>
    <mergeCell ref="I41:M41"/>
    <mergeCell ref="O41:P42"/>
    <mergeCell ref="I42:M42"/>
    <mergeCell ref="I30:M30"/>
    <mergeCell ref="I25:M25"/>
    <mergeCell ref="O25:P26"/>
    <mergeCell ref="I26:M26"/>
    <mergeCell ref="I33:M33"/>
    <mergeCell ref="O33:P34"/>
    <mergeCell ref="I34:M34"/>
    <mergeCell ref="A39:A42"/>
    <mergeCell ref="B39:B40"/>
    <mergeCell ref="C39:G40"/>
    <mergeCell ref="H39:H40"/>
    <mergeCell ref="I39:M39"/>
    <mergeCell ref="O39:P40"/>
    <mergeCell ref="I40:M40"/>
    <mergeCell ref="A31:A34"/>
    <mergeCell ref="B31:B32"/>
    <mergeCell ref="C31:G32"/>
    <mergeCell ref="H31:H32"/>
    <mergeCell ref="I31:M31"/>
    <mergeCell ref="O31:P32"/>
    <mergeCell ref="I32:M32"/>
    <mergeCell ref="B33:B34"/>
    <mergeCell ref="C33:G34"/>
    <mergeCell ref="H33:H34"/>
    <mergeCell ref="A35:A38"/>
    <mergeCell ref="B35:B36"/>
    <mergeCell ref="C35:G36"/>
    <mergeCell ref="H35:H36"/>
    <mergeCell ref="I35:M35"/>
    <mergeCell ref="O35:P36"/>
    <mergeCell ref="I36:M36"/>
    <mergeCell ref="B37:B38"/>
    <mergeCell ref="C37:G38"/>
    <mergeCell ref="H37:H38"/>
    <mergeCell ref="I37:M37"/>
    <mergeCell ref="O37:P38"/>
    <mergeCell ref="I38:M38"/>
    <mergeCell ref="O17:P18"/>
    <mergeCell ref="I18:M18"/>
    <mergeCell ref="A27:A30"/>
    <mergeCell ref="B27:B28"/>
    <mergeCell ref="C27:G28"/>
    <mergeCell ref="H27:H28"/>
    <mergeCell ref="I27:M27"/>
    <mergeCell ref="O27:P28"/>
    <mergeCell ref="I28:M28"/>
    <mergeCell ref="A23:A26"/>
    <mergeCell ref="B23:B24"/>
    <mergeCell ref="C23:G24"/>
    <mergeCell ref="H23:H24"/>
    <mergeCell ref="I23:M23"/>
    <mergeCell ref="O23:P24"/>
    <mergeCell ref="I24:M24"/>
    <mergeCell ref="B25:B26"/>
    <mergeCell ref="C25:G26"/>
    <mergeCell ref="H25:H26"/>
    <mergeCell ref="B29:B30"/>
    <mergeCell ref="C29:G30"/>
    <mergeCell ref="H29:H30"/>
    <mergeCell ref="I29:M29"/>
    <mergeCell ref="O29:P30"/>
    <mergeCell ref="A19:A22"/>
    <mergeCell ref="B19:B20"/>
    <mergeCell ref="C19:G20"/>
    <mergeCell ref="H19:H20"/>
    <mergeCell ref="I19:M19"/>
    <mergeCell ref="O19:P20"/>
    <mergeCell ref="I20:M20"/>
    <mergeCell ref="A15:A18"/>
    <mergeCell ref="B15:B16"/>
    <mergeCell ref="C15:G16"/>
    <mergeCell ref="H15:H16"/>
    <mergeCell ref="I15:M15"/>
    <mergeCell ref="O15:P16"/>
    <mergeCell ref="I16:M16"/>
    <mergeCell ref="B17:B18"/>
    <mergeCell ref="C17:G18"/>
    <mergeCell ref="H17:H18"/>
    <mergeCell ref="B21:B22"/>
    <mergeCell ref="C21:G22"/>
    <mergeCell ref="H21:H22"/>
    <mergeCell ref="I21:M21"/>
    <mergeCell ref="O21:P22"/>
    <mergeCell ref="I22:M22"/>
    <mergeCell ref="I17:M17"/>
    <mergeCell ref="M11:O11"/>
    <mergeCell ref="C12:F12"/>
    <mergeCell ref="G12:I12"/>
    <mergeCell ref="M12:O12"/>
    <mergeCell ref="A13:P13"/>
    <mergeCell ref="B14:G14"/>
    <mergeCell ref="I14:N14"/>
    <mergeCell ref="O14:P14"/>
    <mergeCell ref="A11:A12"/>
    <mergeCell ref="B11:B12"/>
    <mergeCell ref="C11:F11"/>
    <mergeCell ref="G11:I11"/>
    <mergeCell ref="K11:K12"/>
    <mergeCell ref="L11:L12"/>
    <mergeCell ref="M7:P7"/>
    <mergeCell ref="M8:P8"/>
    <mergeCell ref="A9:C9"/>
    <mergeCell ref="G9:K9"/>
    <mergeCell ref="M9:P9"/>
    <mergeCell ref="A10:P10"/>
    <mergeCell ref="A2:P2"/>
    <mergeCell ref="A4:P4"/>
    <mergeCell ref="A5:P5"/>
    <mergeCell ref="A6:C6"/>
    <mergeCell ref="D6:E6"/>
    <mergeCell ref="D7:D8"/>
    <mergeCell ref="E7:K8"/>
    <mergeCell ref="L7:L9"/>
    <mergeCell ref="A3:P3"/>
    <mergeCell ref="A7:C7"/>
    <mergeCell ref="A8:C8"/>
    <mergeCell ref="I46:M46"/>
    <mergeCell ref="A43:A46"/>
    <mergeCell ref="B43:B44"/>
    <mergeCell ref="C43:G44"/>
    <mergeCell ref="H43:H44"/>
    <mergeCell ref="I43:M43"/>
    <mergeCell ref="O43:P44"/>
    <mergeCell ref="I44:M44"/>
    <mergeCell ref="B45:B46"/>
    <mergeCell ref="C45:G46"/>
    <mergeCell ref="H45:H46"/>
    <mergeCell ref="I45:M45"/>
    <mergeCell ref="O45:P46"/>
  </mergeCells>
  <phoneticPr fontId="19"/>
  <dataValidations count="3">
    <dataValidation type="list" allowBlank="1" showInputMessage="1" showErrorMessage="1" sqref="E9" xr:uid="{00000000-0002-0000-0400-000000000000}">
      <formula1>"教諭,主幹教諭,指導教諭,助教諭,常勤講師,教頭,副校長,校長"</formula1>
    </dataValidation>
    <dataValidation type="list" allowBlank="1" showInputMessage="1" showErrorMessage="1" sqref="A1" xr:uid="{00000000-0002-0000-0400-000001000000}">
      <formula1>"全国,新人"</formula1>
    </dataValidation>
    <dataValidation type="list" showInputMessage="1" showErrorMessage="1" sqref="A8:C8" xr:uid="{00000000-0002-0000-0400-000002000000}">
      <formula1>"　,男子,女子"</formula1>
    </dataValidation>
  </dataValidations>
  <pageMargins left="0.7" right="0.7" top="0.75" bottom="0.75" header="0.3" footer="0.3"/>
  <pageSetup paperSize="9" scale="81"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sheetPr>
  <dimension ref="A1:P50"/>
  <sheetViews>
    <sheetView view="pageBreakPreview" topLeftCell="A4" zoomScale="60" zoomScaleNormal="100" workbookViewId="0">
      <selection activeCell="O17" sqref="O17:P18"/>
    </sheetView>
  </sheetViews>
  <sheetFormatPr defaultRowHeight="13.5" x14ac:dyDescent="0.15"/>
  <cols>
    <col min="1" max="1" width="3.5" customWidth="1"/>
    <col min="2" max="2" width="3.125" customWidth="1"/>
    <col min="3" max="3" width="3.875" customWidth="1"/>
    <col min="4" max="4" width="6.125" customWidth="1"/>
    <col min="5" max="5" width="11.75" customWidth="1"/>
    <col min="6" max="6" width="4.875" customWidth="1"/>
    <col min="7" max="7" width="3.125" customWidth="1"/>
    <col min="8" max="8" width="4.625" customWidth="1"/>
    <col min="9" max="9" width="1.625" customWidth="1"/>
    <col min="10" max="10" width="4.125" customWidth="1"/>
    <col min="11" max="11" width="3.5" customWidth="1"/>
    <col min="12" max="12" width="3.125" customWidth="1"/>
    <col min="13" max="13" width="10.5" customWidth="1"/>
    <col min="14" max="14" width="6.125" customWidth="1"/>
    <col min="15" max="15" width="11.75" customWidth="1"/>
    <col min="16" max="16" width="10" customWidth="1"/>
  </cols>
  <sheetData>
    <row r="1" spans="1:16" ht="27" customHeight="1" x14ac:dyDescent="0.15">
      <c r="A1" s="238" t="s">
        <v>40</v>
      </c>
      <c r="B1" s="239"/>
      <c r="C1" s="240"/>
    </row>
    <row r="2" spans="1:16" ht="18.75" x14ac:dyDescent="0.15">
      <c r="A2" s="248" t="str">
        <f>IF($A$1="全九州",$A$48,IF($A$1="全国",$A$49,IF($A$1="新人",$A$50,"")))</f>
        <v>福岡県高等学校総合体育大会　ソフトテニス選手権大会　中部ブロック予選会</v>
      </c>
      <c r="B2" s="248"/>
      <c r="C2" s="248"/>
      <c r="D2" s="248"/>
      <c r="E2" s="248"/>
      <c r="F2" s="248"/>
      <c r="G2" s="248"/>
      <c r="H2" s="248"/>
      <c r="I2" s="248"/>
      <c r="J2" s="248"/>
      <c r="K2" s="248"/>
      <c r="L2" s="248"/>
      <c r="M2" s="248"/>
      <c r="N2" s="248"/>
      <c r="O2" s="248"/>
      <c r="P2" s="248"/>
    </row>
    <row r="3" spans="1:16" x14ac:dyDescent="0.15">
      <c r="A3" s="335" t="str">
        <f>IF($A$1="全九州",$B$48,IF($A$1="全国",$B$49,IF($A$1="新人",$B$50,"")))</f>
        <v>（ 兼 全国高等学校総合体育大会　ソフトテニス選手権大会　福岡県中部ブロック予選 ）</v>
      </c>
      <c r="B3" s="335"/>
      <c r="C3" s="335"/>
      <c r="D3" s="335"/>
      <c r="E3" s="335"/>
      <c r="F3" s="335"/>
      <c r="G3" s="335"/>
      <c r="H3" s="335"/>
      <c r="I3" s="335"/>
      <c r="J3" s="335"/>
      <c r="K3" s="335"/>
      <c r="L3" s="335"/>
      <c r="M3" s="335"/>
      <c r="N3" s="335"/>
      <c r="O3" s="335"/>
      <c r="P3" s="335"/>
    </row>
    <row r="4" spans="1:16" x14ac:dyDescent="0.15">
      <c r="A4" s="335" t="str">
        <f>IF($A$1="全国",$B$48,"")</f>
        <v>（ 兼 全九州高等学校体育大会　ソフトテニス競技　福岡県中部ブロック予選 ）</v>
      </c>
      <c r="B4" s="335"/>
      <c r="C4" s="335"/>
      <c r="D4" s="335"/>
      <c r="E4" s="335"/>
      <c r="F4" s="335"/>
      <c r="G4" s="335"/>
      <c r="H4" s="335"/>
      <c r="I4" s="335"/>
      <c r="J4" s="335"/>
      <c r="K4" s="335"/>
      <c r="L4" s="335"/>
      <c r="M4" s="335"/>
      <c r="N4" s="335"/>
      <c r="O4" s="335"/>
      <c r="P4" s="335"/>
    </row>
    <row r="5" spans="1:16" ht="29.25" customHeight="1" x14ac:dyDescent="0.15">
      <c r="A5" s="248" t="s">
        <v>41</v>
      </c>
      <c r="B5" s="248"/>
      <c r="C5" s="248"/>
      <c r="D5" s="248"/>
      <c r="E5" s="248"/>
      <c r="F5" s="248"/>
      <c r="G5" s="248"/>
      <c r="H5" s="248"/>
      <c r="I5" s="248"/>
      <c r="J5" s="248"/>
      <c r="K5" s="248"/>
      <c r="L5" s="248"/>
      <c r="M5" s="248"/>
      <c r="N5" s="248"/>
      <c r="O5" s="248"/>
      <c r="P5" s="248"/>
    </row>
    <row r="6" spans="1:16" ht="17.25" x14ac:dyDescent="0.15">
      <c r="A6" s="295" t="s">
        <v>26</v>
      </c>
      <c r="B6" s="295"/>
      <c r="C6" s="295"/>
      <c r="D6" s="296"/>
      <c r="E6" s="296"/>
      <c r="F6" s="9"/>
      <c r="G6" s="9"/>
      <c r="H6" s="9"/>
      <c r="I6" s="9"/>
      <c r="J6" s="9"/>
      <c r="K6" s="9"/>
      <c r="L6" s="9"/>
      <c r="M6" s="9"/>
      <c r="N6" s="9"/>
      <c r="O6" s="9"/>
      <c r="P6" s="9"/>
    </row>
    <row r="7" spans="1:16" ht="15" customHeight="1" x14ac:dyDescent="0.15">
      <c r="A7" s="340" t="s">
        <v>62</v>
      </c>
      <c r="B7" s="341"/>
      <c r="C7" s="342"/>
      <c r="D7" s="287" t="s">
        <v>19</v>
      </c>
      <c r="E7" s="336"/>
      <c r="F7" s="336"/>
      <c r="G7" s="336"/>
      <c r="H7" s="336"/>
      <c r="I7" s="336"/>
      <c r="J7" s="336"/>
      <c r="K7" s="337"/>
      <c r="L7" s="289" t="s">
        <v>20</v>
      </c>
      <c r="M7" s="325" t="s">
        <v>64</v>
      </c>
      <c r="N7" s="326"/>
      <c r="O7" s="326"/>
      <c r="P7" s="327"/>
    </row>
    <row r="8" spans="1:16" ht="18.75" customHeight="1" x14ac:dyDescent="0.15">
      <c r="A8" s="209" t="s">
        <v>65</v>
      </c>
      <c r="B8" s="343"/>
      <c r="C8" s="207"/>
      <c r="D8" s="288"/>
      <c r="E8" s="338"/>
      <c r="F8" s="338"/>
      <c r="G8" s="338"/>
      <c r="H8" s="338"/>
      <c r="I8" s="338"/>
      <c r="J8" s="338"/>
      <c r="K8" s="339"/>
      <c r="L8" s="290"/>
      <c r="M8" s="328"/>
      <c r="N8" s="329"/>
      <c r="O8" s="329"/>
      <c r="P8" s="330"/>
    </row>
    <row r="9" spans="1:16" ht="26.25" customHeight="1" x14ac:dyDescent="0.15">
      <c r="A9" s="301" t="s">
        <v>22</v>
      </c>
      <c r="B9" s="302"/>
      <c r="C9" s="302"/>
      <c r="D9" s="12" t="s">
        <v>23</v>
      </c>
      <c r="E9" s="11"/>
      <c r="F9" s="12" t="s">
        <v>24</v>
      </c>
      <c r="G9" s="331"/>
      <c r="H9" s="331"/>
      <c r="I9" s="331"/>
      <c r="J9" s="331"/>
      <c r="K9" s="250"/>
      <c r="L9" s="291"/>
      <c r="M9" s="332" t="s">
        <v>66</v>
      </c>
      <c r="N9" s="333"/>
      <c r="O9" s="333"/>
      <c r="P9" s="334"/>
    </row>
    <row r="10" spans="1:16" ht="24.75" customHeight="1" x14ac:dyDescent="0.2">
      <c r="A10" s="253" t="s">
        <v>25</v>
      </c>
      <c r="B10" s="253"/>
      <c r="C10" s="253"/>
      <c r="D10" s="253"/>
      <c r="E10" s="253"/>
      <c r="F10" s="253"/>
      <c r="G10" s="253"/>
      <c r="H10" s="253"/>
      <c r="I10" s="253"/>
      <c r="J10" s="253"/>
      <c r="K10" s="253"/>
      <c r="L10" s="253"/>
      <c r="M10" s="253"/>
      <c r="N10" s="253"/>
      <c r="O10" s="253"/>
      <c r="P10" s="253"/>
    </row>
    <row r="11" spans="1:16" x14ac:dyDescent="0.15">
      <c r="A11" s="289" t="s">
        <v>27</v>
      </c>
      <c r="B11" s="257" t="s">
        <v>43</v>
      </c>
      <c r="C11" s="258"/>
      <c r="D11" s="258"/>
      <c r="E11" s="258"/>
      <c r="F11" s="259"/>
      <c r="G11" s="350" t="s">
        <v>67</v>
      </c>
      <c r="H11" s="351"/>
      <c r="I11" s="352"/>
      <c r="J11" s="263"/>
      <c r="K11" s="131"/>
      <c r="L11" s="131"/>
      <c r="M11" s="131"/>
      <c r="N11" s="131"/>
      <c r="O11" s="131"/>
      <c r="P11" s="131"/>
    </row>
    <row r="12" spans="1:16" ht="31.5" customHeight="1" x14ac:dyDescent="0.15">
      <c r="A12" s="291"/>
      <c r="B12" s="260"/>
      <c r="C12" s="261"/>
      <c r="D12" s="261"/>
      <c r="E12" s="261"/>
      <c r="F12" s="262"/>
      <c r="G12" s="345" t="s">
        <v>68</v>
      </c>
      <c r="H12" s="346"/>
      <c r="I12" s="347"/>
      <c r="J12" s="263"/>
      <c r="K12" s="131"/>
      <c r="L12" s="131"/>
      <c r="M12" s="131"/>
      <c r="N12" s="131"/>
      <c r="O12" s="131"/>
      <c r="P12" s="131"/>
    </row>
    <row r="13" spans="1:16" ht="27" customHeight="1" x14ac:dyDescent="0.2">
      <c r="A13" s="253" t="s">
        <v>44</v>
      </c>
      <c r="B13" s="253"/>
      <c r="C13" s="253"/>
      <c r="D13" s="253"/>
      <c r="E13" s="253"/>
      <c r="F13" s="253"/>
      <c r="G13" s="253"/>
      <c r="H13" s="253"/>
      <c r="I13" s="253"/>
      <c r="J13" s="253"/>
      <c r="K13" s="253"/>
      <c r="L13" s="253"/>
      <c r="M13" s="253"/>
      <c r="N13" s="253"/>
      <c r="O13" s="253"/>
      <c r="P13" s="253"/>
    </row>
    <row r="14" spans="1:16" ht="17.25" customHeight="1" x14ac:dyDescent="0.15">
      <c r="A14" s="2"/>
      <c r="B14" s="254" t="s">
        <v>45</v>
      </c>
      <c r="C14" s="254"/>
      <c r="D14" s="254"/>
      <c r="E14" s="254"/>
      <c r="F14" s="254"/>
      <c r="G14" s="254"/>
      <c r="H14" s="3" t="s">
        <v>35</v>
      </c>
      <c r="I14" s="297" t="s">
        <v>46</v>
      </c>
      <c r="J14" s="254"/>
      <c r="K14" s="254"/>
      <c r="L14" s="254"/>
      <c r="M14" s="254"/>
      <c r="N14" s="298"/>
      <c r="O14" s="299" t="s">
        <v>47</v>
      </c>
      <c r="P14" s="298"/>
    </row>
    <row r="15" spans="1:16" ht="25.5" customHeight="1" x14ac:dyDescent="0.15">
      <c r="A15" s="236">
        <v>1</v>
      </c>
      <c r="B15" s="371"/>
      <c r="C15" s="376"/>
      <c r="D15" s="376"/>
      <c r="E15" s="376"/>
      <c r="F15" s="376"/>
      <c r="G15" s="377"/>
      <c r="H15" s="281"/>
      <c r="I15" s="381" t="s">
        <v>69</v>
      </c>
      <c r="J15" s="382"/>
      <c r="K15" s="382"/>
      <c r="L15" s="382"/>
      <c r="M15" s="382"/>
      <c r="N15" s="5" t="s">
        <v>49</v>
      </c>
      <c r="O15" s="315"/>
      <c r="P15" s="281"/>
    </row>
    <row r="16" spans="1:16" ht="25.5" customHeight="1" x14ac:dyDescent="0.15">
      <c r="A16" s="237"/>
      <c r="B16" s="378"/>
      <c r="C16" s="379"/>
      <c r="D16" s="379"/>
      <c r="E16" s="379"/>
      <c r="F16" s="379"/>
      <c r="G16" s="380"/>
      <c r="H16" s="270"/>
      <c r="I16" s="368" t="s">
        <v>69</v>
      </c>
      <c r="J16" s="369"/>
      <c r="K16" s="369"/>
      <c r="L16" s="369"/>
      <c r="M16" s="370"/>
      <c r="N16" s="15" t="s">
        <v>70</v>
      </c>
      <c r="O16" s="324"/>
      <c r="P16" s="270"/>
    </row>
    <row r="17" spans="1:16" ht="25.5" customHeight="1" x14ac:dyDescent="0.15">
      <c r="A17" s="236">
        <v>2</v>
      </c>
      <c r="B17" s="359"/>
      <c r="C17" s="131"/>
      <c r="D17" s="131"/>
      <c r="E17" s="131"/>
      <c r="F17" s="131"/>
      <c r="G17" s="360"/>
      <c r="H17" s="269"/>
      <c r="I17" s="364" t="s">
        <v>69</v>
      </c>
      <c r="J17" s="365"/>
      <c r="K17" s="365"/>
      <c r="L17" s="365"/>
      <c r="M17" s="366"/>
      <c r="N17" s="16" t="s">
        <v>49</v>
      </c>
      <c r="O17" s="367"/>
      <c r="P17" s="269"/>
    </row>
    <row r="18" spans="1:16" ht="25.5" customHeight="1" x14ac:dyDescent="0.15">
      <c r="A18" s="237"/>
      <c r="B18" s="361"/>
      <c r="C18" s="362"/>
      <c r="D18" s="362"/>
      <c r="E18" s="362"/>
      <c r="F18" s="362"/>
      <c r="G18" s="363"/>
      <c r="H18" s="270"/>
      <c r="I18" s="368" t="s">
        <v>69</v>
      </c>
      <c r="J18" s="369"/>
      <c r="K18" s="369"/>
      <c r="L18" s="369"/>
      <c r="M18" s="370"/>
      <c r="N18" s="14" t="s">
        <v>70</v>
      </c>
      <c r="O18" s="324"/>
      <c r="P18" s="270"/>
    </row>
    <row r="19" spans="1:16" ht="25.5" customHeight="1" x14ac:dyDescent="0.15">
      <c r="A19" s="236">
        <v>3</v>
      </c>
      <c r="B19" s="371"/>
      <c r="C19" s="133"/>
      <c r="D19" s="133"/>
      <c r="E19" s="133"/>
      <c r="F19" s="133"/>
      <c r="G19" s="372"/>
      <c r="H19" s="281"/>
      <c r="I19" s="373" t="s">
        <v>69</v>
      </c>
      <c r="J19" s="374"/>
      <c r="K19" s="374"/>
      <c r="L19" s="374"/>
      <c r="M19" s="375"/>
      <c r="N19" s="5" t="s">
        <v>49</v>
      </c>
      <c r="O19" s="315"/>
      <c r="P19" s="281"/>
    </row>
    <row r="20" spans="1:16" ht="25.5" customHeight="1" x14ac:dyDescent="0.15">
      <c r="A20" s="237"/>
      <c r="B20" s="361"/>
      <c r="C20" s="362"/>
      <c r="D20" s="362"/>
      <c r="E20" s="362"/>
      <c r="F20" s="362"/>
      <c r="G20" s="363"/>
      <c r="H20" s="270"/>
      <c r="I20" s="368" t="s">
        <v>69</v>
      </c>
      <c r="J20" s="369"/>
      <c r="K20" s="369"/>
      <c r="L20" s="369"/>
      <c r="M20" s="370"/>
      <c r="N20" s="15" t="s">
        <v>70</v>
      </c>
      <c r="O20" s="324"/>
      <c r="P20" s="270"/>
    </row>
    <row r="21" spans="1:16" ht="25.5" customHeight="1" x14ac:dyDescent="0.15">
      <c r="A21" s="236">
        <v>4</v>
      </c>
      <c r="B21" s="359"/>
      <c r="C21" s="131"/>
      <c r="D21" s="131"/>
      <c r="E21" s="131"/>
      <c r="F21" s="131"/>
      <c r="G21" s="360"/>
      <c r="H21" s="269"/>
      <c r="I21" s="364" t="s">
        <v>69</v>
      </c>
      <c r="J21" s="365"/>
      <c r="K21" s="365"/>
      <c r="L21" s="365"/>
      <c r="M21" s="366"/>
      <c r="N21" s="16" t="s">
        <v>49</v>
      </c>
      <c r="O21" s="367"/>
      <c r="P21" s="269"/>
    </row>
    <row r="22" spans="1:16" ht="25.5" customHeight="1" x14ac:dyDescent="0.15">
      <c r="A22" s="237"/>
      <c r="B22" s="361"/>
      <c r="C22" s="362"/>
      <c r="D22" s="362"/>
      <c r="E22" s="362"/>
      <c r="F22" s="362"/>
      <c r="G22" s="363"/>
      <c r="H22" s="270"/>
      <c r="I22" s="368" t="s">
        <v>69</v>
      </c>
      <c r="J22" s="369"/>
      <c r="K22" s="369"/>
      <c r="L22" s="369"/>
      <c r="M22" s="370"/>
      <c r="N22" s="14" t="s">
        <v>70</v>
      </c>
      <c r="O22" s="324"/>
      <c r="P22" s="270"/>
    </row>
    <row r="23" spans="1:16" ht="25.5" customHeight="1" x14ac:dyDescent="0.15">
      <c r="A23" s="236">
        <v>5</v>
      </c>
      <c r="B23" s="371"/>
      <c r="C23" s="133"/>
      <c r="D23" s="133"/>
      <c r="E23" s="133"/>
      <c r="F23" s="133"/>
      <c r="G23" s="372"/>
      <c r="H23" s="281"/>
      <c r="I23" s="373" t="s">
        <v>69</v>
      </c>
      <c r="J23" s="374"/>
      <c r="K23" s="374"/>
      <c r="L23" s="374"/>
      <c r="M23" s="375"/>
      <c r="N23" s="5" t="s">
        <v>49</v>
      </c>
      <c r="O23" s="315"/>
      <c r="P23" s="281"/>
    </row>
    <row r="24" spans="1:16" ht="25.5" customHeight="1" x14ac:dyDescent="0.15">
      <c r="A24" s="237"/>
      <c r="B24" s="361"/>
      <c r="C24" s="362"/>
      <c r="D24" s="362"/>
      <c r="E24" s="362"/>
      <c r="F24" s="362"/>
      <c r="G24" s="363"/>
      <c r="H24" s="270"/>
      <c r="I24" s="368" t="s">
        <v>69</v>
      </c>
      <c r="J24" s="369"/>
      <c r="K24" s="369"/>
      <c r="L24" s="369"/>
      <c r="M24" s="370"/>
      <c r="N24" s="15" t="s">
        <v>70</v>
      </c>
      <c r="O24" s="324"/>
      <c r="P24" s="270"/>
    </row>
    <row r="25" spans="1:16" ht="25.5" customHeight="1" x14ac:dyDescent="0.15">
      <c r="A25" s="236">
        <v>6</v>
      </c>
      <c r="B25" s="359"/>
      <c r="C25" s="131"/>
      <c r="D25" s="131"/>
      <c r="E25" s="131"/>
      <c r="F25" s="131"/>
      <c r="G25" s="360"/>
      <c r="H25" s="269"/>
      <c r="I25" s="364" t="s">
        <v>69</v>
      </c>
      <c r="J25" s="365"/>
      <c r="K25" s="365"/>
      <c r="L25" s="365"/>
      <c r="M25" s="366"/>
      <c r="N25" s="16" t="s">
        <v>49</v>
      </c>
      <c r="O25" s="367"/>
      <c r="P25" s="269"/>
    </row>
    <row r="26" spans="1:16" ht="25.5" customHeight="1" x14ac:dyDescent="0.15">
      <c r="A26" s="237"/>
      <c r="B26" s="361"/>
      <c r="C26" s="362"/>
      <c r="D26" s="362"/>
      <c r="E26" s="362"/>
      <c r="F26" s="362"/>
      <c r="G26" s="363"/>
      <c r="H26" s="270"/>
      <c r="I26" s="368" t="s">
        <v>69</v>
      </c>
      <c r="J26" s="369"/>
      <c r="K26" s="369"/>
      <c r="L26" s="369"/>
      <c r="M26" s="370"/>
      <c r="N26" s="14" t="s">
        <v>70</v>
      </c>
      <c r="O26" s="324"/>
      <c r="P26" s="270"/>
    </row>
    <row r="27" spans="1:16" ht="25.5" customHeight="1" x14ac:dyDescent="0.15">
      <c r="A27" s="236">
        <v>7</v>
      </c>
      <c r="B27" s="371"/>
      <c r="C27" s="133"/>
      <c r="D27" s="133"/>
      <c r="E27" s="133"/>
      <c r="F27" s="133"/>
      <c r="G27" s="372"/>
      <c r="H27" s="281"/>
      <c r="I27" s="373" t="s">
        <v>69</v>
      </c>
      <c r="J27" s="374"/>
      <c r="K27" s="374"/>
      <c r="L27" s="374"/>
      <c r="M27" s="375"/>
      <c r="N27" s="5" t="s">
        <v>49</v>
      </c>
      <c r="O27" s="315"/>
      <c r="P27" s="281"/>
    </row>
    <row r="28" spans="1:16" ht="25.5" customHeight="1" x14ac:dyDescent="0.15">
      <c r="A28" s="237"/>
      <c r="B28" s="361"/>
      <c r="C28" s="362"/>
      <c r="D28" s="362"/>
      <c r="E28" s="362"/>
      <c r="F28" s="362"/>
      <c r="G28" s="363"/>
      <c r="H28" s="270"/>
      <c r="I28" s="368" t="s">
        <v>69</v>
      </c>
      <c r="J28" s="369"/>
      <c r="K28" s="369"/>
      <c r="L28" s="369"/>
      <c r="M28" s="370"/>
      <c r="N28" s="15" t="s">
        <v>70</v>
      </c>
      <c r="O28" s="324"/>
      <c r="P28" s="270"/>
    </row>
    <row r="29" spans="1:16" ht="25.5" customHeight="1" x14ac:dyDescent="0.15">
      <c r="A29" s="236">
        <v>8</v>
      </c>
      <c r="B29" s="359"/>
      <c r="C29" s="131"/>
      <c r="D29" s="131"/>
      <c r="E29" s="131"/>
      <c r="F29" s="131"/>
      <c r="G29" s="360"/>
      <c r="H29" s="269"/>
      <c r="I29" s="364" t="s">
        <v>69</v>
      </c>
      <c r="J29" s="365"/>
      <c r="K29" s="365"/>
      <c r="L29" s="365"/>
      <c r="M29" s="366"/>
      <c r="N29" s="16" t="s">
        <v>49</v>
      </c>
      <c r="O29" s="367"/>
      <c r="P29" s="269"/>
    </row>
    <row r="30" spans="1:16" ht="25.5" customHeight="1" x14ac:dyDescent="0.15">
      <c r="A30" s="237"/>
      <c r="B30" s="361"/>
      <c r="C30" s="362"/>
      <c r="D30" s="362"/>
      <c r="E30" s="362"/>
      <c r="F30" s="362"/>
      <c r="G30" s="363"/>
      <c r="H30" s="270"/>
      <c r="I30" s="368" t="s">
        <v>69</v>
      </c>
      <c r="J30" s="369"/>
      <c r="K30" s="369"/>
      <c r="L30" s="369"/>
      <c r="M30" s="370"/>
      <c r="N30" s="15" t="s">
        <v>70</v>
      </c>
      <c r="O30" s="324"/>
      <c r="P30" s="270"/>
    </row>
    <row r="31" spans="1:16" x14ac:dyDescent="0.15">
      <c r="B31" s="4" t="s">
        <v>60</v>
      </c>
    </row>
    <row r="32" spans="1:16" ht="9" customHeight="1" x14ac:dyDescent="0.15"/>
    <row r="33" spans="1:16" ht="13.5" customHeight="1" x14ac:dyDescent="0.15">
      <c r="B33" s="255" t="s">
        <v>52</v>
      </c>
      <c r="C33" s="255"/>
      <c r="D33" s="255"/>
      <c r="E33" s="255"/>
      <c r="F33" s="255"/>
      <c r="G33" s="255"/>
      <c r="H33" s="255"/>
      <c r="I33" s="255"/>
      <c r="J33" s="255"/>
      <c r="K33" s="255"/>
      <c r="L33" s="255"/>
      <c r="M33" s="255"/>
      <c r="N33" s="255"/>
      <c r="O33" s="255"/>
      <c r="P33" s="255"/>
    </row>
    <row r="34" spans="1:16" x14ac:dyDescent="0.15">
      <c r="B34" s="255"/>
      <c r="C34" s="255"/>
      <c r="D34" s="255"/>
      <c r="E34" s="255"/>
      <c r="F34" s="255"/>
      <c r="G34" s="255"/>
      <c r="H34" s="255"/>
      <c r="I34" s="255"/>
      <c r="J34" s="255"/>
      <c r="K34" s="255"/>
      <c r="L34" s="255"/>
      <c r="M34" s="255"/>
      <c r="N34" s="255"/>
      <c r="O34" s="255"/>
      <c r="P34" s="255"/>
    </row>
    <row r="35" spans="1:16" x14ac:dyDescent="0.15">
      <c r="B35" s="255"/>
      <c r="C35" s="255"/>
      <c r="D35" s="255"/>
      <c r="E35" s="255"/>
      <c r="F35" s="255"/>
      <c r="G35" s="255"/>
      <c r="H35" s="255"/>
      <c r="I35" s="255"/>
      <c r="J35" s="255"/>
      <c r="K35" s="255"/>
      <c r="L35" s="255"/>
      <c r="M35" s="255"/>
      <c r="N35" s="255"/>
      <c r="O35" s="255"/>
      <c r="P35" s="255"/>
    </row>
    <row r="36" spans="1:16" ht="8.25" customHeight="1" x14ac:dyDescent="0.15"/>
    <row r="37" spans="1:16" ht="13.5" customHeight="1" x14ac:dyDescent="0.15">
      <c r="C37" s="234">
        <f ca="1">NOW()</f>
        <v>44323.51523020833</v>
      </c>
      <c r="D37" s="234"/>
      <c r="E37" s="234"/>
    </row>
    <row r="38" spans="1:16" ht="24" customHeight="1" x14ac:dyDescent="0.15">
      <c r="F38" s="357" t="str">
        <f>IF(B7="","高等学校長",VLOOKUP(B7,#REF!,2)&amp;"学校長　")</f>
        <v>高等学校長</v>
      </c>
      <c r="G38" s="357"/>
      <c r="H38" s="357"/>
      <c r="I38" s="357"/>
      <c r="J38" s="357"/>
      <c r="K38" s="357"/>
      <c r="L38" s="357"/>
      <c r="M38" s="357"/>
      <c r="N38" s="358" t="str">
        <f>IF(B7="","　　　　　　　　　　　　　　印",VLOOKUP(B7,#REF!,6)&amp;"　　　印")</f>
        <v>　　　　　　　　　　　　　　印</v>
      </c>
      <c r="O38" s="358"/>
      <c r="P38" s="358"/>
    </row>
    <row r="48" spans="1:16" x14ac:dyDescent="0.15">
      <c r="A48" s="32" t="s">
        <v>73</v>
      </c>
      <c r="B48" s="32" t="s">
        <v>74</v>
      </c>
    </row>
    <row r="49" spans="1:2" x14ac:dyDescent="0.15">
      <c r="A49" s="32" t="s">
        <v>75</v>
      </c>
      <c r="B49" s="32" t="s">
        <v>76</v>
      </c>
    </row>
    <row r="50" spans="1:2" x14ac:dyDescent="0.15">
      <c r="A50" s="32" t="s">
        <v>77</v>
      </c>
      <c r="B50" s="32" t="s">
        <v>78</v>
      </c>
    </row>
  </sheetData>
  <mergeCells count="80">
    <mergeCell ref="A3:P3"/>
    <mergeCell ref="A1:C1"/>
    <mergeCell ref="A10:P10"/>
    <mergeCell ref="A2:P2"/>
    <mergeCell ref="A4:P4"/>
    <mergeCell ref="A5:P5"/>
    <mergeCell ref="A6:C6"/>
    <mergeCell ref="D6:E6"/>
    <mergeCell ref="D7:D8"/>
    <mergeCell ref="E7:K8"/>
    <mergeCell ref="L7:L9"/>
    <mergeCell ref="M7:P7"/>
    <mergeCell ref="M8:P8"/>
    <mergeCell ref="A9:C9"/>
    <mergeCell ref="G9:K9"/>
    <mergeCell ref="M9:P9"/>
    <mergeCell ref="A11:A12"/>
    <mergeCell ref="B11:F11"/>
    <mergeCell ref="G11:I11"/>
    <mergeCell ref="J11:P12"/>
    <mergeCell ref="B12:F12"/>
    <mergeCell ref="G12:I12"/>
    <mergeCell ref="A13:P13"/>
    <mergeCell ref="B14:G14"/>
    <mergeCell ref="I14:N14"/>
    <mergeCell ref="O14:P14"/>
    <mergeCell ref="A15:A16"/>
    <mergeCell ref="B15:G16"/>
    <mergeCell ref="H15:H16"/>
    <mergeCell ref="I15:M15"/>
    <mergeCell ref="O15:P16"/>
    <mergeCell ref="I16:M16"/>
    <mergeCell ref="A17:A18"/>
    <mergeCell ref="B17:G18"/>
    <mergeCell ref="H17:H18"/>
    <mergeCell ref="I17:M17"/>
    <mergeCell ref="O17:P18"/>
    <mergeCell ref="I18:M18"/>
    <mergeCell ref="A19:A20"/>
    <mergeCell ref="B19:G20"/>
    <mergeCell ref="H19:H20"/>
    <mergeCell ref="I19:M19"/>
    <mergeCell ref="O19:P20"/>
    <mergeCell ref="I20:M20"/>
    <mergeCell ref="A21:A22"/>
    <mergeCell ref="B21:G22"/>
    <mergeCell ref="H21:H22"/>
    <mergeCell ref="I21:M21"/>
    <mergeCell ref="O21:P22"/>
    <mergeCell ref="I22:M22"/>
    <mergeCell ref="A23:A24"/>
    <mergeCell ref="B23:G24"/>
    <mergeCell ref="H23:H24"/>
    <mergeCell ref="I23:M23"/>
    <mergeCell ref="O23:P24"/>
    <mergeCell ref="I24:M24"/>
    <mergeCell ref="O27:P28"/>
    <mergeCell ref="I28:M28"/>
    <mergeCell ref="A25:A26"/>
    <mergeCell ref="B25:G26"/>
    <mergeCell ref="H25:H26"/>
    <mergeCell ref="I25:M25"/>
    <mergeCell ref="O25:P26"/>
    <mergeCell ref="I26:M26"/>
    <mergeCell ref="A7:C7"/>
    <mergeCell ref="A8:C8"/>
    <mergeCell ref="B33:P35"/>
    <mergeCell ref="C37:E37"/>
    <mergeCell ref="F38:M38"/>
    <mergeCell ref="N38:P38"/>
    <mergeCell ref="A29:A30"/>
    <mergeCell ref="B29:G30"/>
    <mergeCell ref="H29:H30"/>
    <mergeCell ref="I29:M29"/>
    <mergeCell ref="O29:P30"/>
    <mergeCell ref="I30:M30"/>
    <mergeCell ref="A27:A28"/>
    <mergeCell ref="B27:G28"/>
    <mergeCell ref="H27:H28"/>
    <mergeCell ref="I27:M27"/>
  </mergeCells>
  <phoneticPr fontId="19"/>
  <dataValidations count="3">
    <dataValidation type="list" allowBlank="1" showInputMessage="1" showErrorMessage="1" sqref="E9" xr:uid="{00000000-0002-0000-0500-000000000000}">
      <formula1>"教諭,主幹教諭,指導教諭,助教諭,常勤講師,教頭,副校長,校長"</formula1>
    </dataValidation>
    <dataValidation type="list" allowBlank="1" showInputMessage="1" showErrorMessage="1" sqref="A1" xr:uid="{00000000-0002-0000-0500-000001000000}">
      <formula1>"全国,新人"</formula1>
    </dataValidation>
    <dataValidation type="list" showInputMessage="1" showErrorMessage="1" sqref="A8:C8" xr:uid="{00000000-0002-0000-0500-000002000000}">
      <formula1>"　,男子,女子"</formula1>
    </dataValidation>
  </dataValidations>
  <pageMargins left="0.7" right="0.7" top="0.75" bottom="0.75" header="0.3" footer="0.3"/>
  <pageSetup paperSize="9" scale="97"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記入法</vt:lpstr>
      <vt:lpstr>データ入力用</vt:lpstr>
      <vt:lpstr>個人戦申込書（印刷用）</vt:lpstr>
      <vt:lpstr>団体戦申込書（印刷用）</vt:lpstr>
      <vt:lpstr>個人戦申込書 (手書用)</vt:lpstr>
      <vt:lpstr>団体戦申込書（手書用）</vt:lpstr>
      <vt:lpstr>'個人戦申込書 (手書用)'!Print_Area</vt:lpstr>
      <vt:lpstr>'個人戦申込書（印刷用）'!Print_Area</vt:lpstr>
      <vt:lpstr>'団体戦申込書（印刷用）'!Print_Area</vt:lpstr>
      <vt:lpstr>'団体戦申込書（手書用）'!Print_Area</vt:lpstr>
      <vt:lpstr>データ入力用!Print_Titles</vt:lpstr>
    </vt:vector>
  </TitlesOfParts>
  <Company>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Android phone</dc:creator>
  <cp:lastModifiedBy>Center</cp:lastModifiedBy>
  <cp:lastPrinted>2020-09-30T01:17:00Z</cp:lastPrinted>
  <dcterms:created xsi:type="dcterms:W3CDTF">2021-05-07T03:27:33Z</dcterms:created>
  <dcterms:modified xsi:type="dcterms:W3CDTF">2021-05-07T03:27:34Z</dcterms:modified>
</cp:coreProperties>
</file>