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共有\よく使うもの\大会要項等\ほーむぺーじにのせる分\中部\28\申込書\"/>
    </mc:Choice>
  </mc:AlternateContent>
  <bookViews>
    <workbookView xWindow="1260" yWindow="48" windowWidth="19320" windowHeight="11760" tabRatio="691" activeTab="2"/>
  </bookViews>
  <sheets>
    <sheet name="記入法" sheetId="8" r:id="rId1"/>
    <sheet name="選手リスト" sheetId="4" r:id="rId2"/>
    <sheet name="個人戦申込書（入力用）" sheetId="1" r:id="rId3"/>
    <sheet name="団体戦申込書（入力用）" sheetId="6" r:id="rId4"/>
    <sheet name="個人戦申込書 (手書用)" sheetId="5" r:id="rId5"/>
    <sheet name="団体戦申込書（手書用）" sheetId="7" r:id="rId6"/>
    <sheet name="学校リスト" sheetId="3" r:id="rId7"/>
  </sheets>
  <definedNames>
    <definedName name="_xlnm.Print_Area" localSheetId="4">'個人戦申込書 (手書用)'!$A$2:$P$50</definedName>
    <definedName name="_xlnm.Print_Area" localSheetId="2">'個人戦申込書（入力用）'!$A$2:$P$50</definedName>
    <definedName name="_xlnm.Print_Area" localSheetId="5">'団体戦申込書（手書用）'!$A$2:$P$38</definedName>
    <definedName name="_xlnm.Print_Area" localSheetId="3">'団体戦申込書（入力用）'!$A$2:$P$38</definedName>
    <definedName name="_xlnm.Print_Titles" localSheetId="1">選手リスト!$1:$2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1" l="1"/>
  <c r="N40" i="1"/>
  <c r="I40" i="1"/>
  <c r="H39" i="1"/>
  <c r="O41" i="1"/>
  <c r="H41" i="1"/>
  <c r="N42" i="1"/>
  <c r="I42" i="1"/>
  <c r="I41" i="1"/>
  <c r="I39" i="1"/>
  <c r="C39" i="1"/>
  <c r="A4" i="7"/>
  <c r="A3" i="7"/>
  <c r="A4" i="5"/>
  <c r="A3" i="5"/>
  <c r="A4" i="1"/>
  <c r="A4" i="6"/>
  <c r="A3" i="6"/>
  <c r="C41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A2" i="7"/>
  <c r="A2" i="5"/>
  <c r="A2" i="6"/>
  <c r="A3" i="1"/>
  <c r="A2" i="1"/>
  <c r="N50" i="1"/>
  <c r="N38" i="6"/>
  <c r="N38" i="7"/>
  <c r="F38" i="7"/>
  <c r="O29" i="6"/>
  <c r="O27" i="6"/>
  <c r="O25" i="6"/>
  <c r="O23" i="6"/>
  <c r="O21" i="6"/>
  <c r="O19" i="6"/>
  <c r="O17" i="6"/>
  <c r="O15" i="6"/>
  <c r="N30" i="6"/>
  <c r="N28" i="6"/>
  <c r="N26" i="6"/>
  <c r="N24" i="6"/>
  <c r="N22" i="6"/>
  <c r="N20" i="6"/>
  <c r="N18" i="6"/>
  <c r="N16" i="6"/>
  <c r="I30" i="6"/>
  <c r="I28" i="6"/>
  <c r="I26" i="6"/>
  <c r="I24" i="6"/>
  <c r="I22" i="6"/>
  <c r="I20" i="6"/>
  <c r="I18" i="6"/>
  <c r="I16" i="6"/>
  <c r="I29" i="6"/>
  <c r="I27" i="6"/>
  <c r="I25" i="6"/>
  <c r="I23" i="6"/>
  <c r="I21" i="6"/>
  <c r="I19" i="6"/>
  <c r="I17" i="6"/>
  <c r="I15" i="6"/>
  <c r="H29" i="6"/>
  <c r="H27" i="6"/>
  <c r="H25" i="6"/>
  <c r="H23" i="6"/>
  <c r="H21" i="6"/>
  <c r="H19" i="6"/>
  <c r="H17" i="6"/>
  <c r="H15" i="6"/>
  <c r="B29" i="6"/>
  <c r="B27" i="6"/>
  <c r="B25" i="6"/>
  <c r="B23" i="6"/>
  <c r="B21" i="6"/>
  <c r="B19" i="6"/>
  <c r="B17" i="6"/>
  <c r="B15" i="6"/>
  <c r="F38" i="6"/>
  <c r="C37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K18" i="6"/>
  <c r="J18" i="6"/>
  <c r="M17" i="6"/>
  <c r="L17" i="6"/>
  <c r="K17" i="6"/>
  <c r="J17" i="6"/>
  <c r="M16" i="6"/>
  <c r="L16" i="6"/>
  <c r="K16" i="6"/>
  <c r="J16" i="6"/>
  <c r="M15" i="6"/>
  <c r="L15" i="6"/>
  <c r="K15" i="6"/>
  <c r="J15" i="6"/>
  <c r="M9" i="6"/>
  <c r="M8" i="6"/>
  <c r="M7" i="6"/>
  <c r="E7" i="6"/>
  <c r="N16" i="1"/>
  <c r="I16" i="1"/>
  <c r="I15" i="1"/>
  <c r="H15" i="1"/>
  <c r="C15" i="1"/>
  <c r="C37" i="1"/>
  <c r="C35" i="1"/>
  <c r="C33" i="1"/>
  <c r="C31" i="1"/>
  <c r="C29" i="1"/>
  <c r="C27" i="1"/>
  <c r="C25" i="1"/>
  <c r="C23" i="1"/>
  <c r="C21" i="1"/>
  <c r="C19" i="1"/>
  <c r="C17" i="1"/>
  <c r="H37" i="1"/>
  <c r="H35" i="1"/>
  <c r="H33" i="1"/>
  <c r="H31" i="1"/>
  <c r="H29" i="1"/>
  <c r="H27" i="1"/>
  <c r="H25" i="1"/>
  <c r="H23" i="1"/>
  <c r="H21" i="1"/>
  <c r="H19" i="1"/>
  <c r="H17" i="1"/>
  <c r="I37" i="1"/>
  <c r="I35" i="1"/>
  <c r="I33" i="1"/>
  <c r="I31" i="1"/>
  <c r="I29" i="1"/>
  <c r="I27" i="1"/>
  <c r="I25" i="1"/>
  <c r="I23" i="1"/>
  <c r="I21" i="1"/>
  <c r="I19" i="1"/>
  <c r="I17" i="1"/>
  <c r="I38" i="1"/>
  <c r="I36" i="1"/>
  <c r="I34" i="1"/>
  <c r="I32" i="1"/>
  <c r="I30" i="1"/>
  <c r="I28" i="1"/>
  <c r="I26" i="1"/>
  <c r="I24" i="1"/>
  <c r="I22" i="1"/>
  <c r="I20" i="1"/>
  <c r="I18" i="1"/>
  <c r="N38" i="1"/>
  <c r="N36" i="1"/>
  <c r="N34" i="1"/>
  <c r="N32" i="1"/>
  <c r="N30" i="1"/>
  <c r="N28" i="1"/>
  <c r="N26" i="1"/>
  <c r="N24" i="1"/>
  <c r="N22" i="1"/>
  <c r="N20" i="1"/>
  <c r="N18" i="1"/>
  <c r="O37" i="1"/>
  <c r="O35" i="1"/>
  <c r="O33" i="1"/>
  <c r="O31" i="1"/>
  <c r="O29" i="1"/>
  <c r="O27" i="1"/>
  <c r="O25" i="1"/>
  <c r="O23" i="1"/>
  <c r="O21" i="1"/>
  <c r="O19" i="1"/>
  <c r="O17" i="1"/>
  <c r="O15" i="1"/>
  <c r="F50" i="1"/>
  <c r="M9" i="1"/>
  <c r="M8" i="1"/>
  <c r="M7" i="1"/>
  <c r="E7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C49" i="1"/>
</calcChain>
</file>

<file path=xl/sharedStrings.xml><?xml version="1.0" encoding="utf-8"?>
<sst xmlns="http://schemas.openxmlformats.org/spreadsheetml/2006/main" count="526" uniqueCount="258">
  <si>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</si>
  <si>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個人戦</t>
    <rPh sb="0" eb="3">
      <t>コジンセン</t>
    </rPh>
    <phoneticPr fontId="1"/>
  </si>
  <si>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</si>
  <si>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</si>
  <si>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</si>
  <si>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</si>
  <si>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</si>
  <si>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ベンチ入り指導者</t>
    <rPh sb="3" eb="4">
      <t>イ</t>
    </rPh>
    <rPh sb="5" eb="8">
      <t>シドウシャ</t>
    </rPh>
    <phoneticPr fontId="1"/>
  </si>
  <si>
    <t>監督①</t>
    <rPh sb="0" eb="2">
      <t>カントク</t>
    </rPh>
    <phoneticPr fontId="1"/>
  </si>
  <si>
    <t>個人</t>
    <rPh sb="0" eb="2">
      <t>コジン</t>
    </rPh>
    <phoneticPr fontId="1"/>
  </si>
  <si>
    <t>監督②</t>
    <rPh sb="0" eb="2">
      <t>カントク</t>
    </rPh>
    <phoneticPr fontId="1"/>
  </si>
  <si>
    <t>参加選手</t>
    <rPh sb="0" eb="2">
      <t>サンカ</t>
    </rPh>
    <rPh sb="2" eb="4">
      <t>センシュ</t>
    </rPh>
    <phoneticPr fontId="1"/>
  </si>
  <si>
    <t>学年</t>
    <rPh sb="0" eb="2">
      <t>ガクネン</t>
    </rPh>
    <phoneticPr fontId="1"/>
  </si>
  <si>
    <t>生年月日　および　転入学年月日</t>
    <rPh sb="0" eb="2">
      <t>セイネン</t>
    </rPh>
    <rPh sb="2" eb="4">
      <t>ガッピ</t>
    </rPh>
    <rPh sb="9" eb="11">
      <t>テンニュウ</t>
    </rPh>
    <rPh sb="11" eb="13">
      <t>ガクネン</t>
    </rPh>
    <rPh sb="13" eb="15">
      <t>ガッピ</t>
    </rPh>
    <phoneticPr fontId="1"/>
  </si>
  <si>
    <t>個人ＩＤ</t>
    <rPh sb="0" eb="2">
      <t>コジン</t>
    </rPh>
    <phoneticPr fontId="1"/>
  </si>
  <si>
    <t>Ａ</t>
    <phoneticPr fontId="1"/>
  </si>
  <si>
    <t>Ｂ</t>
    <phoneticPr fontId="1"/>
  </si>
  <si>
    <t>生まれ</t>
    <rPh sb="0" eb="1">
      <t>ウ</t>
    </rPh>
    <phoneticPr fontId="1"/>
  </si>
  <si>
    <t>※注意　個人戦参加選手は、ペアごとに記入すること。</t>
    <rPh sb="1" eb="3">
      <t>チュウイ</t>
    </rPh>
    <rPh sb="4" eb="7">
      <t>コジンセン</t>
    </rPh>
    <rPh sb="7" eb="9">
      <t>サンカ</t>
    </rPh>
    <rPh sb="9" eb="11">
      <t>センシュ</t>
    </rPh>
    <rPh sb="18" eb="20">
      <t>キニュウ</t>
    </rPh>
    <phoneticPr fontId="1"/>
  </si>
  <si>
    <t>　上記のものは本校在学生徒で、表記大会に出場することを認め、参加申し込みをいたします。
また、高体連個人情報に関する取り扱いについては、本大会要項の記載事項を承諾した上で
参加申し込みをする事を同意します。</t>
    <rPh sb="1" eb="3">
      <t>ジョウキ</t>
    </rPh>
    <rPh sb="7" eb="9">
      <t>ホンコウ</t>
    </rPh>
    <rPh sb="9" eb="11">
      <t>ザイガク</t>
    </rPh>
    <rPh sb="11" eb="13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2" eb="33">
      <t>モウ</t>
    </rPh>
    <rPh sb="34" eb="35">
      <t>コ</t>
    </rPh>
    <rPh sb="47" eb="50">
      <t>コウタイレン</t>
    </rPh>
    <rPh sb="50" eb="52">
      <t>コジン</t>
    </rPh>
    <rPh sb="52" eb="54">
      <t>ジョウホウ</t>
    </rPh>
    <rPh sb="55" eb="56">
      <t>カン</t>
    </rPh>
    <rPh sb="58" eb="59">
      <t>ト</t>
    </rPh>
    <rPh sb="60" eb="61">
      <t>アツカ</t>
    </rPh>
    <rPh sb="68" eb="71">
      <t>ホンタイカイ</t>
    </rPh>
    <rPh sb="71" eb="73">
      <t>ヨウコウ</t>
    </rPh>
    <rPh sb="74" eb="76">
      <t>キサイ</t>
    </rPh>
    <rPh sb="76" eb="78">
      <t>ジコウ</t>
    </rPh>
    <rPh sb="79" eb="81">
      <t>ショウダク</t>
    </rPh>
    <rPh sb="83" eb="84">
      <t>ウエ</t>
    </rPh>
    <rPh sb="86" eb="88">
      <t>サンカ</t>
    </rPh>
    <rPh sb="88" eb="89">
      <t>モウ</t>
    </rPh>
    <rPh sb="90" eb="91">
      <t>コ</t>
    </rPh>
    <rPh sb="95" eb="96">
      <t>コト</t>
    </rPh>
    <rPh sb="97" eb="99">
      <t>ドウイ</t>
    </rPh>
    <phoneticPr fontId="1"/>
  </si>
  <si>
    <t>番号</t>
    <rPh sb="0" eb="2">
      <t>バンゴウ</t>
    </rPh>
    <phoneticPr fontId="1"/>
  </si>
  <si>
    <t>男子</t>
    <rPh sb="0" eb="2">
      <t>ダンシ</t>
    </rPh>
    <phoneticPr fontId="1"/>
  </si>
  <si>
    <t>生年月日</t>
    <rPh sb="0" eb="4">
      <t>セイネンガッピ</t>
    </rPh>
    <phoneticPr fontId="1"/>
  </si>
  <si>
    <t>入学年月日</t>
    <rPh sb="0" eb="5">
      <t>ニュウガクネンガッピ</t>
    </rPh>
    <phoneticPr fontId="1"/>
  </si>
  <si>
    <t>個人ID</t>
    <rPh sb="0" eb="2">
      <t>コジン</t>
    </rPh>
    <phoneticPr fontId="1"/>
  </si>
  <si>
    <t>生まれ</t>
  </si>
  <si>
    <t>No.</t>
    <phoneticPr fontId="1"/>
  </si>
  <si>
    <t>入学</t>
  </si>
  <si>
    <t>（ 兼 全九州高等学校新人ソフトテニス大会　福岡県中部ブロック予選 ）</t>
    <rPh sb="2" eb="3">
      <t>ケン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シンジン</t>
    </rPh>
    <rPh sb="19" eb="21">
      <t>タイカイ</t>
    </rPh>
    <rPh sb="22" eb="25">
      <t>フクオカケン</t>
    </rPh>
    <rPh sb="25" eb="27">
      <t>チュウブ</t>
    </rPh>
    <rPh sb="31" eb="33">
      <t>ヨセン</t>
    </rPh>
    <phoneticPr fontId="1"/>
  </si>
  <si>
    <t>福岡県立糸島農業高等</t>
    <rPh sb="0" eb="2">
      <t>フクオカ</t>
    </rPh>
    <rPh sb="2" eb="4">
      <t>ケンリツ</t>
    </rPh>
    <rPh sb="8" eb="10">
      <t>コウトウ</t>
    </rPh>
    <phoneticPr fontId="1"/>
  </si>
  <si>
    <t>819-1117</t>
  </si>
  <si>
    <t>糸島市前原西3-2-1</t>
  </si>
  <si>
    <t>福岡県立宇美商業高等</t>
    <rPh sb="0" eb="2">
      <t>フクオカ</t>
    </rPh>
    <rPh sb="2" eb="4">
      <t>ケンリツ</t>
    </rPh>
    <rPh sb="8" eb="10">
      <t>コウトウ</t>
    </rPh>
    <phoneticPr fontId="1"/>
  </si>
  <si>
    <t>811-2104</t>
  </si>
  <si>
    <t>糟屋郡宇美町井野52-1</t>
  </si>
  <si>
    <t>沖学園高等</t>
    <rPh sb="3" eb="5">
      <t>コウトウ</t>
    </rPh>
    <phoneticPr fontId="1"/>
  </si>
  <si>
    <t>812-0895</t>
  </si>
  <si>
    <t>福岡市博多区竹下2-1-33</t>
    <rPh sb="0" eb="3">
      <t>フクオカシ</t>
    </rPh>
    <phoneticPr fontId="1"/>
  </si>
  <si>
    <t>福岡県立香椎高等</t>
    <rPh sb="0" eb="2">
      <t>フクオカ</t>
    </rPh>
    <rPh sb="2" eb="4">
      <t>ケンリツ</t>
    </rPh>
    <rPh sb="6" eb="8">
      <t>コウトウ</t>
    </rPh>
    <phoneticPr fontId="1"/>
  </si>
  <si>
    <t>813-0011</t>
  </si>
  <si>
    <t>福岡市東区香椎2-9-1</t>
    <rPh sb="0" eb="3">
      <t>フクオカシ</t>
    </rPh>
    <phoneticPr fontId="1"/>
  </si>
  <si>
    <t>福岡県立香椎工業高等</t>
    <rPh sb="0" eb="2">
      <t>フクオカ</t>
    </rPh>
    <rPh sb="2" eb="4">
      <t>ケンリツ</t>
    </rPh>
    <rPh sb="8" eb="10">
      <t>コウトウ</t>
    </rPh>
    <phoneticPr fontId="1"/>
  </si>
  <si>
    <t>813-0012</t>
  </si>
  <si>
    <t>福岡市東区香椎駅東2-23-1</t>
    <rPh sb="0" eb="3">
      <t>フクオカシ</t>
    </rPh>
    <phoneticPr fontId="1"/>
  </si>
  <si>
    <t>九州産業大付属九州産業高等</t>
    <rPh sb="7" eb="9">
      <t>キュウシュウ</t>
    </rPh>
    <rPh sb="9" eb="11">
      <t>サンギョウ</t>
    </rPh>
    <rPh sb="11" eb="13">
      <t>コウトウ</t>
    </rPh>
    <phoneticPr fontId="1"/>
  </si>
  <si>
    <t>818-8585</t>
  </si>
  <si>
    <t>筑紫野市紫2-5-1</t>
  </si>
  <si>
    <t>福岡県立玄界高等</t>
    <rPh sb="0" eb="2">
      <t>フクオカ</t>
    </rPh>
    <rPh sb="2" eb="4">
      <t>ケンリツ</t>
    </rPh>
    <rPh sb="6" eb="8">
      <t>コウトウ</t>
    </rPh>
    <phoneticPr fontId="1"/>
  </si>
  <si>
    <t>811-3114</t>
  </si>
  <si>
    <t>古賀市舞の里3-6-1</t>
  </si>
  <si>
    <t>福岡県立早良高等</t>
    <rPh sb="0" eb="2">
      <t>フクオカ</t>
    </rPh>
    <rPh sb="2" eb="4">
      <t>ケンリツ</t>
    </rPh>
    <rPh sb="6" eb="8">
      <t>コウトウ</t>
    </rPh>
    <phoneticPr fontId="1"/>
  </si>
  <si>
    <t>811-1112</t>
  </si>
  <si>
    <t>福岡市早良区小笠木403</t>
    <rPh sb="0" eb="3">
      <t>フクオカシ</t>
    </rPh>
    <phoneticPr fontId="1"/>
  </si>
  <si>
    <t>福岡県立修猷館高等</t>
    <rPh sb="0" eb="2">
      <t>フクオカ</t>
    </rPh>
    <rPh sb="2" eb="4">
      <t>ケンリツ</t>
    </rPh>
    <rPh sb="7" eb="9">
      <t>コウトウ</t>
    </rPh>
    <phoneticPr fontId="1"/>
  </si>
  <si>
    <t>814-8510</t>
  </si>
  <si>
    <t>福岡市早良区西新6-1-10</t>
    <rPh sb="0" eb="3">
      <t>フクオカシ</t>
    </rPh>
    <phoneticPr fontId="1"/>
  </si>
  <si>
    <t>福岡県立城南高等</t>
    <rPh sb="0" eb="2">
      <t>フクオカ</t>
    </rPh>
    <rPh sb="2" eb="4">
      <t>ケンリツ</t>
    </rPh>
    <rPh sb="6" eb="8">
      <t>コウトウ</t>
    </rPh>
    <phoneticPr fontId="1"/>
  </si>
  <si>
    <t>814-0111</t>
  </si>
  <si>
    <t>福岡市城南区茶山6-21-1</t>
    <rPh sb="0" eb="3">
      <t>フクオカシ</t>
    </rPh>
    <phoneticPr fontId="1"/>
  </si>
  <si>
    <t>福岡県立新宮高等</t>
    <rPh sb="0" eb="2">
      <t>フクオカ</t>
    </rPh>
    <rPh sb="2" eb="4">
      <t>ケンリツ</t>
    </rPh>
    <rPh sb="6" eb="8">
      <t>コウトウ</t>
    </rPh>
    <phoneticPr fontId="1"/>
  </si>
  <si>
    <t>811-0119</t>
  </si>
  <si>
    <t>福岡県立須恵高等</t>
    <rPh sb="0" eb="2">
      <t>フクオカ</t>
    </rPh>
    <rPh sb="2" eb="4">
      <t>ケンリツ</t>
    </rPh>
    <rPh sb="6" eb="8">
      <t>コウトウ</t>
    </rPh>
    <phoneticPr fontId="1"/>
  </si>
  <si>
    <t>811-2221</t>
  </si>
  <si>
    <t>糟屋郡須恵町旅石72-3</t>
  </si>
  <si>
    <t>精華女子高等</t>
    <rPh sb="4" eb="6">
      <t>コウトウ</t>
    </rPh>
    <phoneticPr fontId="1"/>
  </si>
  <si>
    <t>812-0018</t>
  </si>
  <si>
    <t>福岡市博多区住吉4-19-1</t>
    <rPh sb="0" eb="3">
      <t>フクオカシ</t>
    </rPh>
    <phoneticPr fontId="1"/>
  </si>
  <si>
    <t>立花高等</t>
    <rPh sb="2" eb="4">
      <t>コウトウ</t>
    </rPh>
    <phoneticPr fontId="1"/>
  </si>
  <si>
    <t>811-0213</t>
  </si>
  <si>
    <t>福岡市東区和白丘2-24-43</t>
    <rPh sb="0" eb="3">
      <t>フクオカシ</t>
    </rPh>
    <phoneticPr fontId="1"/>
  </si>
  <si>
    <t>福岡県立筑紫高等</t>
    <rPh sb="0" eb="2">
      <t>フクオカ</t>
    </rPh>
    <rPh sb="2" eb="4">
      <t>ケンリツ</t>
    </rPh>
    <rPh sb="6" eb="8">
      <t>コウトウ</t>
    </rPh>
    <phoneticPr fontId="1"/>
  </si>
  <si>
    <t>818-0081</t>
  </si>
  <si>
    <t>筑紫野市針摺東2-4-1</t>
  </si>
  <si>
    <t>福岡県立筑紫丘高等</t>
    <rPh sb="0" eb="2">
      <t>フクオカ</t>
    </rPh>
    <rPh sb="2" eb="4">
      <t>ケンリツ</t>
    </rPh>
    <rPh sb="7" eb="9">
      <t>コウトウ</t>
    </rPh>
    <phoneticPr fontId="1"/>
  </si>
  <si>
    <t>815-0041</t>
  </si>
  <si>
    <t>福岡市南区野間2-13-1</t>
    <rPh sb="0" eb="3">
      <t>フクオカシ</t>
    </rPh>
    <phoneticPr fontId="1"/>
  </si>
  <si>
    <t>筑紫女学園高等</t>
    <rPh sb="5" eb="7">
      <t>コウトウ</t>
    </rPh>
    <phoneticPr fontId="1"/>
  </si>
  <si>
    <t>810-0023</t>
  </si>
  <si>
    <t>福岡市中央区警固2-8-1</t>
    <rPh sb="0" eb="3">
      <t>フクオカシ</t>
    </rPh>
    <phoneticPr fontId="1"/>
  </si>
  <si>
    <t>筑紫台高等</t>
    <rPh sb="3" eb="5">
      <t>コウトウ</t>
    </rPh>
    <phoneticPr fontId="1"/>
  </si>
  <si>
    <t>818-0119</t>
  </si>
  <si>
    <t>太宰府市連歌屋1-1-1</t>
  </si>
  <si>
    <t>福岡県立筑紫中央高等</t>
    <rPh sb="0" eb="2">
      <t>フクオカ</t>
    </rPh>
    <rPh sb="2" eb="4">
      <t>ケンリツ</t>
    </rPh>
    <rPh sb="8" eb="10">
      <t>コウトウ</t>
    </rPh>
    <phoneticPr fontId="1"/>
  </si>
  <si>
    <t>816-0942</t>
  </si>
  <si>
    <t>大野城市中央2-12-1</t>
  </si>
  <si>
    <t>東海大学付属第五高等</t>
    <rPh sb="6" eb="8">
      <t>ダイゴ</t>
    </rPh>
    <rPh sb="8" eb="10">
      <t>コウトウ</t>
    </rPh>
    <phoneticPr fontId="1"/>
  </si>
  <si>
    <t>811-4193</t>
  </si>
  <si>
    <t>宗像市田久1-9-2</t>
    <rPh sb="0" eb="2">
      <t>ムナカタ</t>
    </rPh>
    <phoneticPr fontId="1"/>
  </si>
  <si>
    <t>中村学園女子高等</t>
    <rPh sb="6" eb="8">
      <t>コウトウ</t>
    </rPh>
    <phoneticPr fontId="1"/>
  </si>
  <si>
    <t>814-0103</t>
  </si>
  <si>
    <t>博多女子高等</t>
    <rPh sb="4" eb="6">
      <t>コウトウ</t>
    </rPh>
    <phoneticPr fontId="1"/>
  </si>
  <si>
    <t>812-0054</t>
  </si>
  <si>
    <t>福岡市東区馬出1-14-18</t>
    <rPh sb="0" eb="3">
      <t>フクオカシ</t>
    </rPh>
    <phoneticPr fontId="1"/>
  </si>
  <si>
    <t>東福岡高等</t>
    <rPh sb="3" eb="5">
      <t>コウトウ</t>
    </rPh>
    <phoneticPr fontId="1"/>
  </si>
  <si>
    <t>812-0007</t>
  </si>
  <si>
    <t>福岡市博多区東比恵2-24-1</t>
    <rPh sb="0" eb="3">
      <t>フクオカシ</t>
    </rPh>
    <phoneticPr fontId="1"/>
  </si>
  <si>
    <t>福岡県立福岡高等</t>
    <rPh sb="0" eb="2">
      <t>フクオカ</t>
    </rPh>
    <rPh sb="2" eb="4">
      <t>ケンリツ</t>
    </rPh>
    <rPh sb="6" eb="8">
      <t>コウトウ</t>
    </rPh>
    <phoneticPr fontId="1"/>
  </si>
  <si>
    <t>812-0043</t>
  </si>
  <si>
    <t>福岡市博多区堅粕1-29-1</t>
    <rPh sb="0" eb="3">
      <t>フクオカシ</t>
    </rPh>
    <phoneticPr fontId="1"/>
  </si>
  <si>
    <t>福岡県立福岡魁誠高等</t>
    <rPh sb="0" eb="2">
      <t>フクオカ</t>
    </rPh>
    <rPh sb="2" eb="4">
      <t>ケンリツ</t>
    </rPh>
    <rPh sb="8" eb="10">
      <t>コウトウ</t>
    </rPh>
    <phoneticPr fontId="1"/>
  </si>
  <si>
    <t>811-2311</t>
  </si>
  <si>
    <t>糟屋郡粕屋町長者原122</t>
  </si>
  <si>
    <t>福岡県立福岡工業高等</t>
    <rPh sb="0" eb="2">
      <t>フクオカ</t>
    </rPh>
    <rPh sb="2" eb="4">
      <t>ケンリツ</t>
    </rPh>
    <rPh sb="8" eb="10">
      <t>コウトウ</t>
    </rPh>
    <phoneticPr fontId="1"/>
  </si>
  <si>
    <t>814-8520</t>
  </si>
  <si>
    <t>福岡市早良区荒江2-19-1</t>
    <rPh sb="0" eb="3">
      <t>フクオカシ</t>
    </rPh>
    <phoneticPr fontId="1"/>
  </si>
  <si>
    <t>福岡工業大附属城東高等</t>
    <rPh sb="7" eb="9">
      <t>ジョウトウ</t>
    </rPh>
    <rPh sb="9" eb="11">
      <t>コウトウ</t>
    </rPh>
    <phoneticPr fontId="1"/>
  </si>
  <si>
    <t>811-0214</t>
  </si>
  <si>
    <t>福岡市東区和白東3-30-1</t>
    <rPh sb="0" eb="3">
      <t>フクオカシ</t>
    </rPh>
    <phoneticPr fontId="1"/>
  </si>
  <si>
    <t>福岡県立福岡講倫館高等</t>
    <rPh sb="0" eb="2">
      <t>フクオカ</t>
    </rPh>
    <rPh sb="2" eb="4">
      <t>ケンリツ</t>
    </rPh>
    <rPh sb="9" eb="11">
      <t>コウトウ</t>
    </rPh>
    <phoneticPr fontId="1"/>
  </si>
  <si>
    <t>814-0033</t>
  </si>
  <si>
    <t>福岡常葉高等</t>
    <rPh sb="4" eb="6">
      <t>コウトウ</t>
    </rPh>
    <phoneticPr fontId="1"/>
  </si>
  <si>
    <t>818-0025</t>
  </si>
  <si>
    <t>筑紫野市大字筑紫901</t>
  </si>
  <si>
    <t>福岡市立福岡女子高等</t>
    <rPh sb="0" eb="2">
      <t>フクオカ</t>
    </rPh>
    <rPh sb="2" eb="4">
      <t>シリツ</t>
    </rPh>
    <rPh sb="8" eb="10">
      <t>コウトウ</t>
    </rPh>
    <phoneticPr fontId="1"/>
  </si>
  <si>
    <t>819-0013</t>
  </si>
  <si>
    <t>福岡市西区愛宕浜3-2-2</t>
    <rPh sb="0" eb="3">
      <t>フクオカシ</t>
    </rPh>
    <phoneticPr fontId="1"/>
  </si>
  <si>
    <t>那珂川町立福岡女子商業高等</t>
    <rPh sb="0" eb="3">
      <t>ナカガワ</t>
    </rPh>
    <rPh sb="3" eb="5">
      <t>チョウリツ</t>
    </rPh>
    <rPh sb="11" eb="13">
      <t>コウトウ</t>
    </rPh>
    <phoneticPr fontId="1"/>
  </si>
  <si>
    <t>811-1203</t>
  </si>
  <si>
    <t>福岡市立福岡西陵高等</t>
    <rPh sb="0" eb="2">
      <t>フクオカ</t>
    </rPh>
    <rPh sb="2" eb="4">
      <t>シリツ</t>
    </rPh>
    <rPh sb="8" eb="10">
      <t>コウトウ</t>
    </rPh>
    <phoneticPr fontId="1"/>
  </si>
  <si>
    <t>819-0041</t>
  </si>
  <si>
    <t>福岡市西区拾六町広石</t>
    <rPh sb="0" eb="3">
      <t>フクオカシ</t>
    </rPh>
    <phoneticPr fontId="1"/>
  </si>
  <si>
    <t>福岡大学附属大濠高等</t>
    <rPh sb="6" eb="8">
      <t>オオホリ</t>
    </rPh>
    <rPh sb="8" eb="10">
      <t>コウトウ</t>
    </rPh>
    <phoneticPr fontId="1"/>
  </si>
  <si>
    <t>810-0044</t>
  </si>
  <si>
    <t>福岡市中央区六本松1-12-1</t>
    <rPh sb="0" eb="3">
      <t>フクオカシ</t>
    </rPh>
    <rPh sb="3" eb="5">
      <t>チュウオウ</t>
    </rPh>
    <phoneticPr fontId="1"/>
  </si>
  <si>
    <t>福岡大学附属若葉高等</t>
    <rPh sb="6" eb="8">
      <t>ワカバ</t>
    </rPh>
    <rPh sb="8" eb="10">
      <t>コウトウ</t>
    </rPh>
    <phoneticPr fontId="1"/>
  </si>
  <si>
    <t>810-0062</t>
  </si>
  <si>
    <t>福岡市中央区荒戸3-4-62</t>
    <rPh sb="0" eb="3">
      <t>フクオカシ</t>
    </rPh>
    <rPh sb="3" eb="4">
      <t>チュウ</t>
    </rPh>
    <phoneticPr fontId="1"/>
  </si>
  <si>
    <t>福岡県立福岡中央高等</t>
    <rPh sb="0" eb="2">
      <t>フクオカ</t>
    </rPh>
    <rPh sb="2" eb="4">
      <t>ケンリツ</t>
    </rPh>
    <rPh sb="8" eb="10">
      <t>コウトウ</t>
    </rPh>
    <phoneticPr fontId="1"/>
  </si>
  <si>
    <t>810-0014</t>
  </si>
  <si>
    <t>福岡市中央区平尾3-20-57</t>
    <rPh sb="0" eb="3">
      <t>フクオカシ</t>
    </rPh>
    <phoneticPr fontId="1"/>
  </si>
  <si>
    <t>福岡雙葉高等</t>
    <rPh sb="4" eb="6">
      <t>コウトウ</t>
    </rPh>
    <phoneticPr fontId="1"/>
  </si>
  <si>
    <t>810-0027</t>
  </si>
  <si>
    <t>福岡市中央区御所ヶ谷1</t>
    <rPh sb="0" eb="3">
      <t>フクオカシ</t>
    </rPh>
    <phoneticPr fontId="1"/>
  </si>
  <si>
    <t>福岡舞鶴高等</t>
    <rPh sb="4" eb="6">
      <t>コウトウ</t>
    </rPh>
    <phoneticPr fontId="1"/>
  </si>
  <si>
    <t>819-0375</t>
  </si>
  <si>
    <t>福岡市西区徳永1110-2</t>
    <rPh sb="0" eb="3">
      <t>フクオカシ</t>
    </rPh>
    <phoneticPr fontId="1"/>
  </si>
  <si>
    <t>福岡市立福翔高等</t>
    <rPh sb="0" eb="2">
      <t>フクオカ</t>
    </rPh>
    <rPh sb="2" eb="4">
      <t>シリツ</t>
    </rPh>
    <rPh sb="6" eb="8">
      <t>コウトウ</t>
    </rPh>
    <phoneticPr fontId="1"/>
  </si>
  <si>
    <t>811-1347</t>
  </si>
  <si>
    <t>福岡市南区野多目5-31-1</t>
    <rPh sb="0" eb="3">
      <t>フクオカシ</t>
    </rPh>
    <phoneticPr fontId="1"/>
  </si>
  <si>
    <t>福岡県立武蔵台高等</t>
    <rPh sb="0" eb="2">
      <t>フクオカ</t>
    </rPh>
    <rPh sb="2" eb="4">
      <t>ケンリツ</t>
    </rPh>
    <rPh sb="7" eb="9">
      <t>コウトウ</t>
    </rPh>
    <phoneticPr fontId="1"/>
  </si>
  <si>
    <t>818-0053</t>
  </si>
  <si>
    <t>筑紫野市天拝坂5-2-1</t>
  </si>
  <si>
    <t>福岡県立宗像高等</t>
    <rPh sb="0" eb="2">
      <t>フクオカ</t>
    </rPh>
    <rPh sb="2" eb="4">
      <t>ケンリツ</t>
    </rPh>
    <rPh sb="6" eb="8">
      <t>コウトウ</t>
    </rPh>
    <phoneticPr fontId="1"/>
  </si>
  <si>
    <t>811-3436</t>
  </si>
  <si>
    <t>宗像市東郷6-7-1</t>
  </si>
  <si>
    <t/>
  </si>
  <si>
    <t>〒</t>
  </si>
  <si>
    <t>℡  （　　　　  ）　　　  　－　　　  　　</t>
  </si>
  <si>
    <t>高等学校長</t>
  </si>
  <si>
    <t>　　　　　　　　　　　　　　印</t>
  </si>
  <si>
    <t>いずれかを○で囲む</t>
    <rPh sb="7" eb="8">
      <t>カコ</t>
    </rPh>
    <phoneticPr fontId="1"/>
  </si>
  <si>
    <t>当該校職員
外部指導者</t>
    <rPh sb="6" eb="8">
      <t>ガイブ</t>
    </rPh>
    <rPh sb="8" eb="11">
      <t>シドウシャ</t>
    </rPh>
    <phoneticPr fontId="1"/>
  </si>
  <si>
    <t>当該校職員
外部指導者</t>
    <rPh sb="0" eb="2">
      <t>トウガイ</t>
    </rPh>
    <rPh sb="2" eb="3">
      <t>コウ</t>
    </rPh>
    <rPh sb="3" eb="5">
      <t>ショクイン</t>
    </rPh>
    <rPh sb="6" eb="8">
      <t>ガイブ</t>
    </rPh>
    <rPh sb="8" eb="11">
      <t>シドウシャ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</si>
  <si>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</si>
  <si>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　  　年　　 　月 　 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</si>
  <si>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入学・転入</t>
    <rPh sb="0" eb="2">
      <t>ニュウガク</t>
    </rPh>
    <rPh sb="3" eb="5">
      <t>テンニュウ</t>
    </rPh>
    <phoneticPr fontId="1"/>
  </si>
  <si>
    <t>個人
番手</t>
    <rPh sb="0" eb="2">
      <t>コジン</t>
    </rPh>
    <rPh sb="3" eb="5">
      <t>バンテ</t>
    </rPh>
    <phoneticPr fontId="1"/>
  </si>
  <si>
    <t>団体
番号</t>
    <rPh sb="0" eb="2">
      <t>ダンタイ</t>
    </rPh>
    <rPh sb="3" eb="5">
      <t>バンゴウ</t>
    </rPh>
    <phoneticPr fontId="1"/>
  </si>
  <si>
    <t>団体戦</t>
    <rPh sb="0" eb="3">
      <t>ダンタイセン</t>
    </rPh>
    <phoneticPr fontId="1"/>
  </si>
  <si>
    <t>監督</t>
    <rPh sb="0" eb="2">
      <t>カントク</t>
    </rPh>
    <phoneticPr fontId="1"/>
  </si>
  <si>
    <t>※団体戦においてはベンチ入りできる指導者は、監督１名のみとする。</t>
    <rPh sb="1" eb="4">
      <t>ダンタイセン</t>
    </rPh>
    <rPh sb="12" eb="13">
      <t>イ</t>
    </rPh>
    <rPh sb="17" eb="20">
      <t>シドウシャ</t>
    </rPh>
    <rPh sb="22" eb="24">
      <t>カントク</t>
    </rPh>
    <rPh sb="25" eb="26">
      <t>メイ</t>
    </rPh>
    <phoneticPr fontId="1"/>
  </si>
  <si>
    <t>入学/転入</t>
    <rPh sb="0" eb="2">
      <t>ニュウガク</t>
    </rPh>
    <rPh sb="3" eb="5">
      <t>テンニュウ</t>
    </rPh>
    <phoneticPr fontId="1"/>
  </si>
  <si>
    <t>〒</t>
    <phoneticPr fontId="1"/>
  </si>
  <si>
    <t>氏　　　名</t>
    <rPh sb="0" eb="1">
      <t>シ</t>
    </rPh>
    <rPh sb="4" eb="5">
      <t>メイ</t>
    </rPh>
    <phoneticPr fontId="1"/>
  </si>
  <si>
    <t>氏　　　　　名</t>
    <rPh sb="0" eb="1">
      <t>シ</t>
    </rPh>
    <rPh sb="6" eb="7">
      <t>メイ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</si>
  <si>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</si>
  <si>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</si>
  <si>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</si>
  <si>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</si>
  <si>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</si>
  <si>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校長名</t>
    <rPh sb="0" eb="2">
      <t>コウチョウ</t>
    </rPh>
    <rPh sb="2" eb="3">
      <t>メイ</t>
    </rPh>
    <phoneticPr fontId="1"/>
  </si>
  <si>
    <t>福岡市南区鳥飼7-10-38</t>
    <rPh sb="0" eb="3">
      <t>フクオカシ</t>
    </rPh>
    <phoneticPr fontId="1"/>
  </si>
  <si>
    <t>092-322-2654</t>
    <phoneticPr fontId="1"/>
  </si>
  <si>
    <t>092-932-0135</t>
    <phoneticPr fontId="1"/>
  </si>
  <si>
    <t>092-431-1868</t>
    <phoneticPr fontId="1"/>
  </si>
  <si>
    <t>092-681-1061</t>
    <phoneticPr fontId="1"/>
  </si>
  <si>
    <t>092-681-2131</t>
    <phoneticPr fontId="1"/>
  </si>
  <si>
    <t>092-923-3030</t>
    <phoneticPr fontId="1"/>
  </si>
  <si>
    <t>092-944-2735</t>
    <phoneticPr fontId="1"/>
  </si>
  <si>
    <t>092-804-6600</t>
    <phoneticPr fontId="1"/>
  </si>
  <si>
    <t>092-821-0733</t>
    <phoneticPr fontId="1"/>
  </si>
  <si>
    <t>092-831-0986</t>
    <phoneticPr fontId="1"/>
  </si>
  <si>
    <t>糟屋郡新宮町緑ヶ浜1-12-1</t>
    <phoneticPr fontId="1"/>
  </si>
  <si>
    <t>092-962-293</t>
    <phoneticPr fontId="1"/>
  </si>
  <si>
    <t>092-936-5566</t>
    <phoneticPr fontId="1"/>
  </si>
  <si>
    <t>092-431-1434</t>
    <phoneticPr fontId="1"/>
  </si>
  <si>
    <t>092-606-2792</t>
    <phoneticPr fontId="1"/>
  </si>
  <si>
    <t>092-924-1511</t>
    <phoneticPr fontId="1"/>
  </si>
  <si>
    <t>092-541-4061</t>
    <phoneticPr fontId="1"/>
  </si>
  <si>
    <t>092-771-3066</t>
    <phoneticPr fontId="1"/>
  </si>
  <si>
    <t>092-923-0010</t>
    <phoneticPr fontId="1"/>
  </si>
  <si>
    <t>092-581-1470</t>
    <phoneticPr fontId="1"/>
  </si>
  <si>
    <t>0940-32-3311</t>
    <phoneticPr fontId="1"/>
  </si>
  <si>
    <t>092-831-0981</t>
    <phoneticPr fontId="1"/>
  </si>
  <si>
    <t>092-651-1465</t>
    <phoneticPr fontId="1"/>
  </si>
  <si>
    <t>092-411-3702</t>
    <phoneticPr fontId="1"/>
  </si>
  <si>
    <t>092-651-4265</t>
    <phoneticPr fontId="1"/>
  </si>
  <si>
    <t>092-938-2021</t>
    <phoneticPr fontId="1"/>
  </si>
  <si>
    <t>092-821-5831</t>
    <phoneticPr fontId="1"/>
  </si>
  <si>
    <t>092-606-3131</t>
    <phoneticPr fontId="1"/>
  </si>
  <si>
    <t>福岡市早良区有田3-9-1</t>
    <rPh sb="0" eb="3">
      <t>フクオカシ</t>
    </rPh>
    <rPh sb="3" eb="5">
      <t>サワラ</t>
    </rPh>
    <phoneticPr fontId="1"/>
  </si>
  <si>
    <t>092-871-2710</t>
    <phoneticPr fontId="1"/>
  </si>
  <si>
    <t>092-926-0731</t>
    <phoneticPr fontId="1"/>
  </si>
  <si>
    <t>092-881-7344</t>
    <phoneticPr fontId="1"/>
  </si>
  <si>
    <t>筑紫郡那珂川町片縄北1-4-1</t>
    <rPh sb="0" eb="2">
      <t>チクシ</t>
    </rPh>
    <phoneticPr fontId="1"/>
  </si>
  <si>
    <t>092-952-2231</t>
    <phoneticPr fontId="1"/>
  </si>
  <si>
    <t>092-881-8175</t>
    <phoneticPr fontId="1"/>
  </si>
  <si>
    <t>092-771-0731</t>
    <phoneticPr fontId="1"/>
  </si>
  <si>
    <t>092-771-1981</t>
    <phoneticPr fontId="1"/>
  </si>
  <si>
    <t>092-521-1831</t>
    <phoneticPr fontId="1"/>
  </si>
  <si>
    <t>092-531-0438</t>
    <phoneticPr fontId="1"/>
  </si>
  <si>
    <t>092-806-3334</t>
    <phoneticPr fontId="1"/>
  </si>
  <si>
    <t>092-565-1670</t>
    <phoneticPr fontId="1"/>
  </si>
  <si>
    <t>092-925-6441</t>
    <phoneticPr fontId="1"/>
  </si>
  <si>
    <t>0940-36-2019</t>
    <phoneticPr fontId="1"/>
  </si>
  <si>
    <t>福岡県高体連中部ブロック　ソフトテニス大会　参加申込書の記入方法　</t>
    <rPh sb="0" eb="3">
      <t>フクオカケン</t>
    </rPh>
    <rPh sb="3" eb="6">
      <t>コウタイレン</t>
    </rPh>
    <rPh sb="6" eb="8">
      <t>チュウブ</t>
    </rPh>
    <rPh sb="19" eb="21">
      <t>タイカイ</t>
    </rPh>
    <rPh sb="22" eb="24">
      <t>サンカ</t>
    </rPh>
    <rPh sb="24" eb="27">
      <t>モウシコミショ</t>
    </rPh>
    <rPh sb="28" eb="30">
      <t>キニュウ</t>
    </rPh>
    <rPh sb="30" eb="32">
      <t>ホウホウ</t>
    </rPh>
    <phoneticPr fontId="1"/>
  </si>
  <si>
    <t>（１）これまで通り，手書きで記入する場合</t>
    <rPh sb="7" eb="8">
      <t>ドオ</t>
    </rPh>
    <rPh sb="10" eb="12">
      <t>テガ</t>
    </rPh>
    <rPh sb="14" eb="16">
      <t>キニュウ</t>
    </rPh>
    <rPh sb="18" eb="20">
      <t>バアイ</t>
    </rPh>
    <phoneticPr fontId="1"/>
  </si>
  <si>
    <t>（２）ワークシートに入力する場合</t>
    <rPh sb="10" eb="12">
      <t>ニュウリョク</t>
    </rPh>
    <rPh sb="14" eb="16">
      <t>バアイ</t>
    </rPh>
    <phoneticPr fontId="1"/>
  </si>
  <si>
    <t>・「個人戦申込書（手書用）」，「団体戦申込書（手書用）」（青色のタブ）をそれぞれ印刷してお使いください。</t>
    <rPh sb="2" eb="5">
      <t>コジンセン</t>
    </rPh>
    <rPh sb="5" eb="7">
      <t>モウシコ</t>
    </rPh>
    <rPh sb="7" eb="8">
      <t>ショ</t>
    </rPh>
    <rPh sb="9" eb="11">
      <t>テガ</t>
    </rPh>
    <rPh sb="11" eb="12">
      <t>ヨウ</t>
    </rPh>
    <rPh sb="16" eb="19">
      <t>ダンタイセン</t>
    </rPh>
    <rPh sb="19" eb="22">
      <t>モウシコミショ</t>
    </rPh>
    <rPh sb="23" eb="25">
      <t>テガ</t>
    </rPh>
    <rPh sb="25" eb="26">
      <t>ヨウ</t>
    </rPh>
    <rPh sb="29" eb="31">
      <t>アオイロ</t>
    </rPh>
    <rPh sb="40" eb="42">
      <t>インサツ</t>
    </rPh>
    <rPh sb="45" eb="46">
      <t>ツカ</t>
    </rPh>
    <phoneticPr fontId="1"/>
  </si>
  <si>
    <t>①「選手リスト」（赤色のタブ）に，選手データを入力する。</t>
    <rPh sb="2" eb="4">
      <t>センシュ</t>
    </rPh>
    <rPh sb="9" eb="11">
      <t>アカイロ</t>
    </rPh>
    <rPh sb="17" eb="19">
      <t>センシュ</t>
    </rPh>
    <rPh sb="23" eb="25">
      <t>ニュウリョク</t>
    </rPh>
    <phoneticPr fontId="1"/>
  </si>
  <si>
    <t>※引率責任者，監督，選手の氏名で，異字体などで表示されない場合は，近い字で入力するか，空白で印刷し手書きしてください</t>
    <rPh sb="1" eb="3">
      <t>インソツ</t>
    </rPh>
    <rPh sb="3" eb="6">
      <t>セキニンシャ</t>
    </rPh>
    <rPh sb="7" eb="9">
      <t>カントク</t>
    </rPh>
    <rPh sb="10" eb="12">
      <t>センシュ</t>
    </rPh>
    <rPh sb="13" eb="15">
      <t>シメイ</t>
    </rPh>
    <rPh sb="17" eb="18">
      <t>イ</t>
    </rPh>
    <rPh sb="18" eb="20">
      <t>ジタイ</t>
    </rPh>
    <rPh sb="23" eb="25">
      <t>ヒョウジ</t>
    </rPh>
    <rPh sb="29" eb="31">
      <t>バアイ</t>
    </rPh>
    <rPh sb="33" eb="34">
      <t>チカ</t>
    </rPh>
    <rPh sb="35" eb="36">
      <t>ジ</t>
    </rPh>
    <rPh sb="37" eb="39">
      <t>ニュウリョク</t>
    </rPh>
    <rPh sb="43" eb="45">
      <t>クウハク</t>
    </rPh>
    <rPh sb="46" eb="48">
      <t>インサツ</t>
    </rPh>
    <rPh sb="49" eb="51">
      <t>テガ</t>
    </rPh>
    <phoneticPr fontId="1"/>
  </si>
  <si>
    <t>　※学校番号は，顧問会議で配付した「福岡県高体連中部ブロックソフトテニス専門部顧問名簿」の番号</t>
    <rPh sb="2" eb="4">
      <t>ガッコウ</t>
    </rPh>
    <rPh sb="4" eb="6">
      <t>バンゴウ</t>
    </rPh>
    <rPh sb="8" eb="10">
      <t>コモン</t>
    </rPh>
    <rPh sb="10" eb="12">
      <t>カイギ</t>
    </rPh>
    <rPh sb="13" eb="15">
      <t>ハイフ</t>
    </rPh>
    <rPh sb="18" eb="21">
      <t>フクオカケン</t>
    </rPh>
    <rPh sb="21" eb="24">
      <t>コウタイレン</t>
    </rPh>
    <rPh sb="24" eb="26">
      <t>チュウブ</t>
    </rPh>
    <rPh sb="36" eb="39">
      <t>センモンブ</t>
    </rPh>
    <rPh sb="39" eb="41">
      <t>コモン</t>
    </rPh>
    <rPh sb="41" eb="43">
      <t>メイボ</t>
    </rPh>
    <rPh sb="45" eb="47">
      <t>バンゴウ</t>
    </rPh>
    <phoneticPr fontId="1"/>
  </si>
  <si>
    <t>　※「職名」，「当該校職員・外部指導者」はリストから選択できます。</t>
    <rPh sb="3" eb="4">
      <t>ショク</t>
    </rPh>
    <rPh sb="4" eb="5">
      <t>メイ</t>
    </rPh>
    <rPh sb="8" eb="10">
      <t>トウガイ</t>
    </rPh>
    <rPh sb="10" eb="11">
      <t>コウ</t>
    </rPh>
    <rPh sb="11" eb="13">
      <t>ショクイン</t>
    </rPh>
    <rPh sb="14" eb="16">
      <t>ガイブ</t>
    </rPh>
    <rPh sb="16" eb="19">
      <t>シドウシャ</t>
    </rPh>
    <rPh sb="26" eb="28">
      <t>センタク</t>
    </rPh>
    <phoneticPr fontId="1"/>
  </si>
  <si>
    <t>福岡県高等学校ソフトテニス新人大会　中部ブロック予選会</t>
  </si>
  <si>
    <t>福岡県高等学校ソフトテニス大会　中部ブロック予選会</t>
    <rPh sb="0" eb="3">
      <t>フクオカケン</t>
    </rPh>
    <rPh sb="3" eb="5">
      <t>コウトウ</t>
    </rPh>
    <rPh sb="5" eb="7">
      <t>ガッコウ</t>
    </rPh>
    <rPh sb="13" eb="15">
      <t>タイカイ</t>
    </rPh>
    <rPh sb="16" eb="18">
      <t>チュウブ</t>
    </rPh>
    <rPh sb="22" eb="25">
      <t>ヨセンカイ</t>
    </rPh>
    <phoneticPr fontId="1"/>
  </si>
  <si>
    <t>（ 兼 全九州高等学校体育大会　ソフトテニス競技　福岡県中部ブロック予選 ）</t>
    <rPh sb="2" eb="3">
      <t>ケン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タイイク</t>
    </rPh>
    <rPh sb="13" eb="15">
      <t>タイカイ</t>
    </rPh>
    <rPh sb="22" eb="24">
      <t>キョウギ</t>
    </rPh>
    <rPh sb="25" eb="28">
      <t>フクオカケン</t>
    </rPh>
    <rPh sb="28" eb="30">
      <t>チュウブ</t>
    </rPh>
    <rPh sb="34" eb="36">
      <t>ヨセン</t>
    </rPh>
    <phoneticPr fontId="1"/>
  </si>
  <si>
    <t>福岡県高等学校総合体育大会　ソフトテニス選手権大会　中部ブロック予選会</t>
    <rPh sb="0" eb="3">
      <t>フクオカケン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20" eb="23">
      <t>センシュケン</t>
    </rPh>
    <rPh sb="23" eb="25">
      <t>タイカイ</t>
    </rPh>
    <rPh sb="26" eb="28">
      <t>チュウブ</t>
    </rPh>
    <rPh sb="32" eb="35">
      <t>ヨセンカイ</t>
    </rPh>
    <phoneticPr fontId="1"/>
  </si>
  <si>
    <t>（ 兼 全国高等学校総合体育大会　ソフトテニス選手権大会　福岡県中部ブロック予選 ）</t>
    <rPh sb="2" eb="3">
      <t>ケン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23" eb="26">
      <t>センシュケン</t>
    </rPh>
    <rPh sb="26" eb="28">
      <t>タイカイ</t>
    </rPh>
    <rPh sb="29" eb="32">
      <t>フクオカケン</t>
    </rPh>
    <rPh sb="32" eb="34">
      <t>チュウブ</t>
    </rPh>
    <rPh sb="38" eb="40">
      <t>ヨセン</t>
    </rPh>
    <phoneticPr fontId="1"/>
  </si>
  <si>
    <t>　※申込書の大会名が変わります。</t>
    <rPh sb="2" eb="5">
      <t>モウシコミショ</t>
    </rPh>
    <rPh sb="6" eb="8">
      <t>タイカイ</t>
    </rPh>
    <rPh sb="8" eb="9">
      <t>メイ</t>
    </rPh>
    <rPh sb="10" eb="11">
      <t>カ</t>
    </rPh>
    <phoneticPr fontId="1"/>
  </si>
  <si>
    <t>○○高等学校ソフトテニス部　部員名簿</t>
    <rPh sb="2" eb="4">
      <t>コウトウ</t>
    </rPh>
    <rPh sb="4" eb="6">
      <t>ガッコウ</t>
    </rPh>
    <rPh sb="12" eb="13">
      <t>ブ</t>
    </rPh>
    <rPh sb="14" eb="16">
      <t>ブイン</t>
    </rPh>
    <rPh sb="16" eb="18">
      <t>メイボ</t>
    </rPh>
    <phoneticPr fontId="1"/>
  </si>
  <si>
    <t>※校長名の訂正等は「学校リスト」（紫色のタブ）を修正してください。</t>
    <rPh sb="1" eb="4">
      <t>コウチョウメイ</t>
    </rPh>
    <rPh sb="5" eb="7">
      <t>テイセイ</t>
    </rPh>
    <rPh sb="7" eb="8">
      <t>ナド</t>
    </rPh>
    <rPh sb="10" eb="12">
      <t>ガッコウ</t>
    </rPh>
    <rPh sb="17" eb="19">
      <t>ムラサキイロ</t>
    </rPh>
    <rPh sb="24" eb="26">
      <t>シュウセイ</t>
    </rPh>
    <phoneticPr fontId="1"/>
  </si>
  <si>
    <t>②「個人戦申込書（入力用）」または「団体戦申込書（入力用）」（緑色のタブ）で，左上の赤枠のセルで「全九州」，「全国」，「新人」を選択する。</t>
    <rPh sb="2" eb="5">
      <t>コジンセン</t>
    </rPh>
    <rPh sb="5" eb="7">
      <t>モウシコ</t>
    </rPh>
    <rPh sb="7" eb="8">
      <t>ショ</t>
    </rPh>
    <rPh sb="9" eb="11">
      <t>ニュウリョク</t>
    </rPh>
    <rPh sb="11" eb="12">
      <t>ヨウ</t>
    </rPh>
    <rPh sb="18" eb="21">
      <t>ダンタイセン</t>
    </rPh>
    <rPh sb="21" eb="24">
      <t>モウシコミショ</t>
    </rPh>
    <rPh sb="25" eb="27">
      <t>ニュウリョク</t>
    </rPh>
    <rPh sb="27" eb="28">
      <t>ヨウ</t>
    </rPh>
    <rPh sb="31" eb="33">
      <t>ミドリイロ</t>
    </rPh>
    <rPh sb="39" eb="41">
      <t>ヒダリウエ</t>
    </rPh>
    <rPh sb="42" eb="43">
      <t>アカ</t>
    </rPh>
    <rPh sb="43" eb="44">
      <t>ワク</t>
    </rPh>
    <rPh sb="49" eb="50">
      <t>ゼン</t>
    </rPh>
    <rPh sb="50" eb="52">
      <t>キュウシュウ</t>
    </rPh>
    <rPh sb="55" eb="57">
      <t>ゼンコク</t>
    </rPh>
    <rPh sb="60" eb="62">
      <t>シンジン</t>
    </rPh>
    <rPh sb="64" eb="66">
      <t>センタク</t>
    </rPh>
    <phoneticPr fontId="1"/>
  </si>
  <si>
    <t>　※「個人番手」は1A,1B,2A,2B,……，「団体番号」は1,2,3,……を半角英数で入力する。</t>
    <rPh sb="3" eb="5">
      <t>コジン</t>
    </rPh>
    <rPh sb="5" eb="7">
      <t>バンテ</t>
    </rPh>
    <rPh sb="25" eb="27">
      <t>ダンタイ</t>
    </rPh>
    <rPh sb="27" eb="29">
      <t>バンゴウ</t>
    </rPh>
    <rPh sb="40" eb="42">
      <t>ハンカク</t>
    </rPh>
    <rPh sb="42" eb="44">
      <t>エイスウ</t>
    </rPh>
    <rPh sb="45" eb="47">
      <t>ニュウリョク</t>
    </rPh>
    <phoneticPr fontId="1"/>
  </si>
  <si>
    <t>　※「個人番手（個人戦の出場選手の選択）」，「団体番号（団体戦の出場選手の選択）」，「学年」，「入学・転入」の列はリストから選択できます。</t>
    <rPh sb="3" eb="5">
      <t>コジン</t>
    </rPh>
    <rPh sb="5" eb="7">
      <t>バンテ</t>
    </rPh>
    <rPh sb="8" eb="11">
      <t>コジンセン</t>
    </rPh>
    <rPh sb="12" eb="14">
      <t>シュツジョウ</t>
    </rPh>
    <rPh sb="14" eb="16">
      <t>センシュ</t>
    </rPh>
    <rPh sb="17" eb="19">
      <t>センタク</t>
    </rPh>
    <rPh sb="23" eb="25">
      <t>ダンタイ</t>
    </rPh>
    <rPh sb="25" eb="27">
      <t>バンゴウ</t>
    </rPh>
    <rPh sb="28" eb="31">
      <t>ダンタイセン</t>
    </rPh>
    <rPh sb="32" eb="34">
      <t>シュツジョウ</t>
    </rPh>
    <rPh sb="34" eb="36">
      <t>センシュ</t>
    </rPh>
    <rPh sb="37" eb="39">
      <t>センタク</t>
    </rPh>
    <rPh sb="43" eb="45">
      <t>ガクネン</t>
    </rPh>
    <rPh sb="48" eb="50">
      <t>ニュウガク</t>
    </rPh>
    <rPh sb="51" eb="53">
      <t>テンニュウ</t>
    </rPh>
    <rPh sb="55" eb="56">
      <t>レツ</t>
    </rPh>
    <rPh sb="62" eb="64">
      <t>センタク</t>
    </rPh>
    <phoneticPr fontId="1"/>
  </si>
  <si>
    <t>　※見本を削除してから入力してください。</t>
    <rPh sb="2" eb="4">
      <t>ミホン</t>
    </rPh>
    <rPh sb="5" eb="7">
      <t>サクジョ</t>
    </rPh>
    <rPh sb="11" eb="13">
      <t>ニュウリョク</t>
    </rPh>
    <phoneticPr fontId="1"/>
  </si>
  <si>
    <t>福岡　太郎</t>
    <rPh sb="0" eb="2">
      <t>フクオカ</t>
    </rPh>
    <rPh sb="3" eb="5">
      <t>タロウ</t>
    </rPh>
    <phoneticPr fontId="1"/>
  </si>
  <si>
    <t>福岡　次郎</t>
    <rPh sb="0" eb="2">
      <t>フクオカ</t>
    </rPh>
    <rPh sb="3" eb="5">
      <t>ジロウ</t>
    </rPh>
    <phoneticPr fontId="1"/>
  </si>
  <si>
    <t>福岡　三郎</t>
    <rPh sb="0" eb="2">
      <t>フクオカ</t>
    </rPh>
    <rPh sb="3" eb="5">
      <t>サブロウ</t>
    </rPh>
    <phoneticPr fontId="1"/>
  </si>
  <si>
    <t>福岡　四郎</t>
    <rPh sb="0" eb="2">
      <t>フクオカ</t>
    </rPh>
    <rPh sb="3" eb="5">
      <t>シロウ</t>
    </rPh>
    <phoneticPr fontId="1"/>
  </si>
  <si>
    <t>福岡　五郎</t>
    <rPh sb="0" eb="2">
      <t>フクオカ</t>
    </rPh>
    <rPh sb="3" eb="5">
      <t>ゴロウ</t>
    </rPh>
    <phoneticPr fontId="1"/>
  </si>
  <si>
    <t>福岡　六郎</t>
    <rPh sb="0" eb="2">
      <t>フクオカ</t>
    </rPh>
    <rPh sb="3" eb="5">
      <t>ロクロウ</t>
    </rPh>
    <phoneticPr fontId="1"/>
  </si>
  <si>
    <t>転入</t>
  </si>
  <si>
    <t>登録中</t>
    <rPh sb="0" eb="3">
      <t>トウロクチュウ</t>
    </rPh>
    <phoneticPr fontId="1"/>
  </si>
  <si>
    <t>1A</t>
  </si>
  <si>
    <t>1B</t>
  </si>
  <si>
    <t>2A</t>
  </si>
  <si>
    <t>2B</t>
  </si>
  <si>
    <t>③「男子」，「女子」の入力セルで，「男子」または「女子」を選択する。</t>
    <rPh sb="2" eb="4">
      <t>ダンシ</t>
    </rPh>
    <rPh sb="7" eb="9">
      <t>ジョシ</t>
    </rPh>
    <rPh sb="11" eb="13">
      <t>ニュウリョク</t>
    </rPh>
    <rPh sb="18" eb="20">
      <t>ダンシ</t>
    </rPh>
    <rPh sb="25" eb="27">
      <t>ジョシ</t>
    </rPh>
    <rPh sb="29" eb="31">
      <t>センタク</t>
    </rPh>
    <phoneticPr fontId="1"/>
  </si>
  <si>
    <t>④「番号」のセルに学校番号を入力する。</t>
    <rPh sb="2" eb="4">
      <t>バンゴウ</t>
    </rPh>
    <rPh sb="9" eb="11">
      <t>ガッコウ</t>
    </rPh>
    <rPh sb="11" eb="13">
      <t>バンゴウ</t>
    </rPh>
    <rPh sb="14" eb="16">
      <t>ニュウリョク</t>
    </rPh>
    <phoneticPr fontId="1"/>
  </si>
  <si>
    <t>⑤「引率責任者」，「監督」（個人戦は「監督①」，「監督②」）のセルに，引率責任者，監督の氏名を入力する。</t>
    <rPh sb="2" eb="4">
      <t>インソツ</t>
    </rPh>
    <rPh sb="4" eb="7">
      <t>セキニンシャ</t>
    </rPh>
    <rPh sb="10" eb="12">
      <t>カントク</t>
    </rPh>
    <rPh sb="14" eb="17">
      <t>コジンセン</t>
    </rPh>
    <rPh sb="19" eb="21">
      <t>カントク</t>
    </rPh>
    <rPh sb="25" eb="27">
      <t>カントク</t>
    </rPh>
    <rPh sb="35" eb="37">
      <t>インソツ</t>
    </rPh>
    <rPh sb="37" eb="40">
      <t>セキニンシャ</t>
    </rPh>
    <rPh sb="41" eb="43">
      <t>カントク</t>
    </rPh>
    <rPh sb="44" eb="46">
      <t>シメイ</t>
    </rPh>
    <rPh sb="47" eb="49">
      <t>ニュウリョク</t>
    </rPh>
    <phoneticPr fontId="1"/>
  </si>
  <si>
    <t>　※「男子」，「女子」の入力セルで，「男子」または「女子」を選択してください。</t>
    <rPh sb="3" eb="5">
      <t>ダンシ</t>
    </rPh>
    <rPh sb="8" eb="10">
      <t>ジョシ</t>
    </rPh>
    <rPh sb="12" eb="14">
      <t>ニュウリョク</t>
    </rPh>
    <rPh sb="19" eb="21">
      <t>ダンシ</t>
    </rPh>
    <rPh sb="26" eb="28">
      <t>ジョシ</t>
    </rPh>
    <rPh sb="30" eb="39">
      <t>センタクシテ｡</t>
    </rPh>
    <phoneticPr fontId="1"/>
  </si>
  <si>
    <t>　※整理の都合上，「番号」には，顧問会議で配付した「福岡県高体連中部ブロックソフトテニス専門部顧問名簿」の番号を記入してください。</t>
    <rPh sb="2" eb="4">
      <t>セイリ</t>
    </rPh>
    <rPh sb="5" eb="8">
      <t>ツゴウジョウ</t>
    </rPh>
    <rPh sb="10" eb="12">
      <t>バンゴウ</t>
    </rPh>
    <rPh sb="16" eb="18">
      <t>コモン</t>
    </rPh>
    <rPh sb="18" eb="20">
      <t>カイギ</t>
    </rPh>
    <rPh sb="21" eb="23">
      <t>ハイフ</t>
    </rPh>
    <rPh sb="26" eb="29">
      <t>フクオカケン</t>
    </rPh>
    <rPh sb="29" eb="32">
      <t>コウタイレン</t>
    </rPh>
    <rPh sb="32" eb="34">
      <t>チュウブ</t>
    </rPh>
    <rPh sb="44" eb="47">
      <t>センモンブ</t>
    </rPh>
    <rPh sb="47" eb="49">
      <t>コモン</t>
    </rPh>
    <rPh sb="49" eb="51">
      <t>メイボ</t>
    </rPh>
    <rPh sb="53" eb="55">
      <t>バンゴウ</t>
    </rPh>
    <rPh sb="56" eb="58">
      <t>キニュウ</t>
    </rPh>
    <phoneticPr fontId="1"/>
  </si>
  <si>
    <t>福岡　七郎</t>
    <rPh sb="0" eb="2">
      <t>フクオカ</t>
    </rPh>
    <rPh sb="3" eb="4">
      <t>シチ</t>
    </rPh>
    <rPh sb="4" eb="5">
      <t>ロウ</t>
    </rPh>
    <phoneticPr fontId="1"/>
  </si>
  <si>
    <t>7B</t>
  </si>
  <si>
    <t>全国</t>
  </si>
  <si>
    <t>※校長名は表示されますので，学校リストの校長欄に自分で入力してください。不都合ある場合は空白で印刷し，手書きしてください。</t>
    <rPh sb="1" eb="3">
      <t>コウチョウ</t>
    </rPh>
    <rPh sb="3" eb="4">
      <t>メイ</t>
    </rPh>
    <rPh sb="5" eb="7">
      <t>ヒョウジ</t>
    </rPh>
    <rPh sb="14" eb="16">
      <t>ガッコウ</t>
    </rPh>
    <rPh sb="20" eb="22">
      <t>コウチョウ</t>
    </rPh>
    <rPh sb="22" eb="23">
      <t>ラン</t>
    </rPh>
    <rPh sb="24" eb="26">
      <t>ジブン</t>
    </rPh>
    <rPh sb="27" eb="29">
      <t>ニュウリョク</t>
    </rPh>
    <rPh sb="36" eb="39">
      <t>フツゴウ</t>
    </rPh>
    <rPh sb="41" eb="43">
      <t>バアイ</t>
    </rPh>
    <rPh sb="44" eb="46">
      <t>クウハク</t>
    </rPh>
    <rPh sb="47" eb="49">
      <t>インサツ</t>
    </rPh>
    <rPh sb="51" eb="53">
      <t>テガ</t>
    </rPh>
    <phoneticPr fontId="1"/>
  </si>
  <si>
    <t>　※左上の赤枠のセルで「全国」，「新人」を選択してください。</t>
    <rPh sb="2" eb="4">
      <t>ヒダリウエ</t>
    </rPh>
    <rPh sb="5" eb="7">
      <t>アカワク</t>
    </rPh>
    <rPh sb="12" eb="14">
      <t>ゼンコク</t>
    </rPh>
    <rPh sb="17" eb="19">
      <t>シンジン</t>
    </rPh>
    <rPh sb="21" eb="23">
      <t>センタク</t>
    </rPh>
    <phoneticPr fontId="1"/>
  </si>
  <si>
    <t>新人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</si>
</sst>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1"/>
      <name val="ＭＳ Ｐ明朝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0"/>
      <name val="ＭＳ Ｐゴシック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5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11" fillId="0" borderId="39" xfId="0" applyFont="1" applyBorder="1">
      <alignment vertical="center"/>
    </xf>
    <xf numFmtId="0" fontId="11" fillId="0" borderId="21" xfId="0" applyFont="1" applyBorder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58" fontId="4" fillId="0" borderId="63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58" fontId="4" fillId="0" borderId="65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69" xfId="0" applyBorder="1">
      <alignment vertical="center"/>
    </xf>
    <xf numFmtId="0" fontId="0" fillId="0" borderId="71" xfId="0" applyBorder="1">
      <alignment vertical="center"/>
    </xf>
    <xf numFmtId="0" fontId="0" fillId="0" borderId="61" xfId="0" applyBorder="1">
      <alignment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0" xfId="0" applyBorder="1">
      <alignment vertical="center"/>
    </xf>
    <xf numFmtId="0" fontId="0" fillId="0" borderId="76" xfId="0" applyBorder="1">
      <alignment vertical="center"/>
    </xf>
    <xf numFmtId="0" fontId="0" fillId="0" borderId="65" xfId="0" applyBorder="1">
      <alignment vertical="center"/>
    </xf>
    <xf numFmtId="0" fontId="0" fillId="0" borderId="68" xfId="0" applyBorder="1">
      <alignment vertical="center"/>
    </xf>
    <xf numFmtId="0" fontId="18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distributed" vertical="center" indent="1"/>
    </xf>
    <xf numFmtId="58" fontId="4" fillId="0" borderId="29" xfId="0" applyNumberFormat="1" applyFont="1" applyBorder="1" applyAlignment="1">
      <alignment horizontal="distributed" vertical="center" indent="1"/>
    </xf>
    <xf numFmtId="58" fontId="4" fillId="0" borderId="12" xfId="0" applyNumberFormat="1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4" fillId="0" borderId="38" xfId="0" applyNumberFormat="1" applyFont="1" applyBorder="1" applyAlignment="1">
      <alignment horizontal="distributed" vertical="center" indent="1"/>
    </xf>
    <xf numFmtId="58" fontId="4" fillId="0" borderId="9" xfId="0" applyNumberFormat="1" applyFont="1" applyBorder="1" applyAlignment="1">
      <alignment horizontal="distributed" vertical="center" indent="1"/>
    </xf>
    <xf numFmtId="58" fontId="4" fillId="0" borderId="4" xfId="0" applyNumberFormat="1" applyFont="1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8" fontId="4" fillId="0" borderId="40" xfId="0" applyNumberFormat="1" applyFont="1" applyBorder="1" applyAlignment="1">
      <alignment horizontal="distributed" vertical="center" indent="1"/>
    </xf>
    <xf numFmtId="58" fontId="4" fillId="0" borderId="8" xfId="0" applyNumberFormat="1" applyFont="1" applyBorder="1" applyAlignment="1">
      <alignment horizontal="distributed" vertical="center" indent="1"/>
    </xf>
    <xf numFmtId="58" fontId="4" fillId="0" borderId="2" xfId="0" applyNumberFormat="1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distributed" vertical="center" indent="1"/>
    </xf>
    <xf numFmtId="58" fontId="4" fillId="0" borderId="32" xfId="0" applyNumberFormat="1" applyFont="1" applyBorder="1" applyAlignment="1">
      <alignment horizontal="distributed" vertical="center" indent="1"/>
    </xf>
    <xf numFmtId="58" fontId="4" fillId="0" borderId="19" xfId="0" applyNumberFormat="1" applyFont="1" applyBorder="1" applyAlignment="1">
      <alignment horizontal="distributed" vertical="center" inden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7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indent="3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58" fontId="4" fillId="0" borderId="0" xfId="0" applyNumberFormat="1" applyFont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58" fontId="4" fillId="0" borderId="51" xfId="0" applyNumberFormat="1" applyFont="1" applyBorder="1" applyAlignment="1">
      <alignment horizontal="distributed" vertical="center" indent="1"/>
    </xf>
    <xf numFmtId="58" fontId="4" fillId="0" borderId="55" xfId="0" applyNumberFormat="1" applyFont="1" applyBorder="1" applyAlignment="1">
      <alignment horizontal="distributed" vertical="center" indent="1"/>
    </xf>
    <xf numFmtId="58" fontId="4" fillId="0" borderId="3" xfId="0" applyNumberFormat="1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58" fontId="4" fillId="0" borderId="42" xfId="0" applyNumberFormat="1" applyFont="1" applyBorder="1" applyAlignment="1">
      <alignment vertical="center"/>
    </xf>
    <xf numFmtId="58" fontId="4" fillId="0" borderId="32" xfId="0" applyNumberFormat="1" applyFont="1" applyBorder="1" applyAlignment="1">
      <alignment vertical="center"/>
    </xf>
    <xf numFmtId="58" fontId="4" fillId="0" borderId="19" xfId="0" applyNumberFormat="1" applyFont="1" applyBorder="1" applyAlignment="1">
      <alignment vertical="center"/>
    </xf>
    <xf numFmtId="58" fontId="4" fillId="0" borderId="37" xfId="0" applyNumberFormat="1" applyFont="1" applyBorder="1" applyAlignment="1">
      <alignment vertical="center"/>
    </xf>
    <xf numFmtId="58" fontId="4" fillId="0" borderId="29" xfId="0" applyNumberFormat="1" applyFont="1" applyBorder="1" applyAlignment="1">
      <alignment vertical="center"/>
    </xf>
    <xf numFmtId="58" fontId="4" fillId="0" borderId="12" xfId="0" applyNumberFormat="1" applyFont="1" applyBorder="1" applyAlignment="1">
      <alignment vertical="center"/>
    </xf>
    <xf numFmtId="58" fontId="4" fillId="0" borderId="38" xfId="0" applyNumberFormat="1" applyFont="1" applyBorder="1" applyAlignment="1">
      <alignment vertical="center"/>
    </xf>
    <xf numFmtId="58" fontId="4" fillId="0" borderId="9" xfId="0" applyNumberFormat="1" applyFont="1" applyBorder="1" applyAlignment="1">
      <alignment vertical="center"/>
    </xf>
    <xf numFmtId="58" fontId="4" fillId="0" borderId="4" xfId="0" applyNumberFormat="1" applyFont="1" applyBorder="1" applyAlignment="1">
      <alignment vertical="center"/>
    </xf>
    <xf numFmtId="58" fontId="4" fillId="0" borderId="40" xfId="0" applyNumberFormat="1" applyFont="1" applyBorder="1" applyAlignment="1">
      <alignment vertical="center"/>
    </xf>
    <xf numFmtId="58" fontId="4" fillId="0" borderId="8" xfId="0" applyNumberFormat="1" applyFont="1" applyBorder="1" applyAlignment="1">
      <alignment vertical="center"/>
    </xf>
    <xf numFmtId="58" fontId="4" fillId="0" borderId="2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58" fontId="4" fillId="0" borderId="43" xfId="0" applyNumberFormat="1" applyFont="1" applyBorder="1" applyAlignment="1">
      <alignment vertical="center"/>
    </xf>
    <xf numFmtId="58" fontId="4" fillId="0" borderId="13" xfId="0" applyNumberFormat="1" applyFont="1" applyBorder="1" applyAlignment="1">
      <alignment vertical="center"/>
    </xf>
    <xf numFmtId="58" fontId="4" fillId="0" borderId="44" xfId="0" applyNumberFormat="1" applyFont="1" applyBorder="1" applyAlignment="1">
      <alignment vertical="center"/>
    </xf>
    <xf numFmtId="58" fontId="4" fillId="0" borderId="49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58" fontId="4" fillId="0" borderId="51" xfId="0" applyNumberFormat="1" applyFont="1" applyBorder="1" applyAlignment="1">
      <alignment horizontal="center" vertical="center"/>
    </xf>
    <xf numFmtId="58" fontId="4" fillId="0" borderId="55" xfId="0" applyNumberFormat="1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center" vertical="center"/>
    </xf>
    <xf numFmtId="58" fontId="4" fillId="0" borderId="32" xfId="0" applyNumberFormat="1" applyFont="1" applyBorder="1" applyAlignment="1">
      <alignment horizontal="center" vertical="center"/>
    </xf>
    <xf numFmtId="58" fontId="4" fillId="0" borderId="19" xfId="0" applyNumberFormat="1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58" fontId="4" fillId="0" borderId="43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8"/>
  <sheetViews>
    <sheetView workbookViewId="0"/>
  </sheetViews>
  <sheetFormatPr defaultColWidth="8.88671875" defaultRowHeight="13.2" x14ac:dyDescent="0.2"/>
  <sheetData>
    <row r="1" spans="1:1" ht="25.5" customHeight="1" x14ac:dyDescent="0.2">
      <c r="A1" s="28" t="s">
        <v>215</v>
      </c>
    </row>
    <row r="3" spans="1:1" x14ac:dyDescent="0.2">
      <c r="A3" s="27" t="s">
        <v>216</v>
      </c>
    </row>
    <row r="4" spans="1:1" x14ac:dyDescent="0.2">
      <c r="A4" t="s">
        <v>218</v>
      </c>
    </row>
    <row r="5" spans="1:1" x14ac:dyDescent="0.2">
      <c r="A5" t="s">
        <v>256</v>
      </c>
    </row>
    <row r="6" spans="1:1" x14ac:dyDescent="0.2">
      <c r="A6" t="s">
        <v>250</v>
      </c>
    </row>
    <row r="7" spans="1:1" x14ac:dyDescent="0.2">
      <c r="A7" t="s">
        <v>251</v>
      </c>
    </row>
    <row r="9" spans="1:1" x14ac:dyDescent="0.2">
      <c r="A9" s="27" t="s">
        <v>217</v>
      </c>
    </row>
    <row r="10" spans="1:1" x14ac:dyDescent="0.2">
      <c r="A10" t="s">
        <v>219</v>
      </c>
    </row>
    <row r="11" spans="1:1" x14ac:dyDescent="0.2">
      <c r="A11" t="s">
        <v>234</v>
      </c>
    </row>
    <row r="12" spans="1:1" x14ac:dyDescent="0.2">
      <c r="A12" t="s">
        <v>233</v>
      </c>
    </row>
    <row r="13" spans="1:1" x14ac:dyDescent="0.2">
      <c r="A13" t="s">
        <v>232</v>
      </c>
    </row>
    <row r="15" spans="1:1" x14ac:dyDescent="0.2">
      <c r="A15" t="s">
        <v>231</v>
      </c>
    </row>
    <row r="16" spans="1:1" x14ac:dyDescent="0.2">
      <c r="A16" t="s">
        <v>228</v>
      </c>
    </row>
    <row r="18" spans="1:1" x14ac:dyDescent="0.2">
      <c r="A18" t="s">
        <v>247</v>
      </c>
    </row>
    <row r="20" spans="1:1" x14ac:dyDescent="0.2">
      <c r="A20" t="s">
        <v>248</v>
      </c>
    </row>
    <row r="21" spans="1:1" x14ac:dyDescent="0.2">
      <c r="A21" t="s">
        <v>221</v>
      </c>
    </row>
    <row r="23" spans="1:1" x14ac:dyDescent="0.2">
      <c r="A23" t="s">
        <v>249</v>
      </c>
    </row>
    <row r="24" spans="1:1" x14ac:dyDescent="0.2">
      <c r="A24" t="s">
        <v>222</v>
      </c>
    </row>
    <row r="26" spans="1:1" x14ac:dyDescent="0.2">
      <c r="A26" s="29" t="s">
        <v>255</v>
      </c>
    </row>
    <row r="27" spans="1:1" x14ac:dyDescent="0.2">
      <c r="A27" s="29" t="s">
        <v>220</v>
      </c>
    </row>
    <row r="28" spans="1:1" x14ac:dyDescent="0.2">
      <c r="A28" s="29" t="s">
        <v>230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3"/>
  <sheetViews>
    <sheetView workbookViewId="0">
      <selection activeCell="B16" sqref="B16"/>
    </sheetView>
  </sheetViews>
  <sheetFormatPr defaultColWidth="13" defaultRowHeight="13.2" x14ac:dyDescent="0.2"/>
  <cols>
    <col min="1" max="1" width="4.109375" style="12" customWidth="1"/>
    <col min="2" max="2" width="5.109375" style="12" customWidth="1"/>
    <col min="3" max="3" width="5.109375" style="16" customWidth="1"/>
    <col min="4" max="4" width="13" style="12"/>
    <col min="5" max="5" width="5.109375" style="12" customWidth="1"/>
    <col min="6" max="6" width="15.33203125" style="12" bestFit="1" customWidth="1"/>
    <col min="7" max="7" width="14.44140625" style="12" bestFit="1" customWidth="1"/>
    <col min="8" max="8" width="10.109375" style="12" customWidth="1"/>
    <col min="9" max="9" width="13" style="12"/>
  </cols>
  <sheetData>
    <row r="1" spans="1:11" ht="21" x14ac:dyDescent="0.2">
      <c r="A1" s="30" t="s">
        <v>229</v>
      </c>
      <c r="B1" s="18"/>
      <c r="C1" s="18"/>
      <c r="D1" s="18"/>
      <c r="E1" s="18"/>
      <c r="F1" s="18"/>
      <c r="G1" s="18"/>
      <c r="H1" s="18"/>
      <c r="I1" s="18"/>
    </row>
    <row r="2" spans="1:11" ht="13.8" thickBo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1" ht="27" thickBot="1" x14ac:dyDescent="0.25">
      <c r="A3" s="31" t="s">
        <v>26</v>
      </c>
      <c r="B3" s="32" t="s">
        <v>156</v>
      </c>
      <c r="C3" s="32" t="s">
        <v>157</v>
      </c>
      <c r="D3" s="33" t="s">
        <v>5</v>
      </c>
      <c r="E3" s="33" t="s">
        <v>12</v>
      </c>
      <c r="F3" s="33" t="s">
        <v>22</v>
      </c>
      <c r="G3" s="33" t="s">
        <v>23</v>
      </c>
      <c r="H3" s="33" t="s">
        <v>161</v>
      </c>
      <c r="I3" s="50" t="s">
        <v>24</v>
      </c>
      <c r="J3" s="55"/>
      <c r="K3" s="49"/>
    </row>
    <row r="4" spans="1:11" ht="17.25" customHeight="1" thickTop="1" x14ac:dyDescent="0.2">
      <c r="A4" s="34">
        <v>1</v>
      </c>
      <c r="B4" s="35" t="s">
        <v>243</v>
      </c>
      <c r="C4" s="35">
        <v>1</v>
      </c>
      <c r="D4" s="35" t="s">
        <v>235</v>
      </c>
      <c r="E4" s="35">
        <v>3</v>
      </c>
      <c r="F4" s="36">
        <v>36526</v>
      </c>
      <c r="G4" s="36">
        <v>41365</v>
      </c>
      <c r="H4" s="35" t="s">
        <v>27</v>
      </c>
      <c r="I4" s="51">
        <v>111111111</v>
      </c>
      <c r="J4" s="56"/>
      <c r="K4" s="48"/>
    </row>
    <row r="5" spans="1:11" ht="17.25" customHeight="1" x14ac:dyDescent="0.2">
      <c r="A5" s="37">
        <v>2</v>
      </c>
      <c r="B5" s="38" t="s">
        <v>244</v>
      </c>
      <c r="C5" s="38">
        <v>2</v>
      </c>
      <c r="D5" s="38" t="s">
        <v>236</v>
      </c>
      <c r="E5" s="38">
        <v>3</v>
      </c>
      <c r="F5" s="39">
        <v>36527</v>
      </c>
      <c r="G5" s="39">
        <v>41365</v>
      </c>
      <c r="H5" s="38" t="s">
        <v>27</v>
      </c>
      <c r="I5" s="52">
        <v>22222222</v>
      </c>
      <c r="J5" s="57"/>
      <c r="K5" s="46"/>
    </row>
    <row r="6" spans="1:11" ht="17.25" customHeight="1" x14ac:dyDescent="0.2">
      <c r="A6" s="37">
        <v>3</v>
      </c>
      <c r="B6" s="38"/>
      <c r="C6" s="38">
        <v>3</v>
      </c>
      <c r="D6" s="38" t="s">
        <v>237</v>
      </c>
      <c r="E6" s="38">
        <v>2</v>
      </c>
      <c r="F6" s="39">
        <v>36923</v>
      </c>
      <c r="G6" s="39">
        <v>41730</v>
      </c>
      <c r="H6" s="38" t="s">
        <v>27</v>
      </c>
      <c r="I6" s="52">
        <v>33333333</v>
      </c>
      <c r="J6" s="57"/>
      <c r="K6" s="46"/>
    </row>
    <row r="7" spans="1:11" ht="17.25" customHeight="1" x14ac:dyDescent="0.2">
      <c r="A7" s="37">
        <v>4</v>
      </c>
      <c r="B7" s="38" t="s">
        <v>245</v>
      </c>
      <c r="C7" s="38">
        <v>4</v>
      </c>
      <c r="D7" s="38" t="s">
        <v>238</v>
      </c>
      <c r="E7" s="38">
        <v>2</v>
      </c>
      <c r="F7" s="39">
        <v>36924</v>
      </c>
      <c r="G7" s="39">
        <v>41760</v>
      </c>
      <c r="H7" s="38" t="s">
        <v>241</v>
      </c>
      <c r="I7" s="52">
        <v>44444444</v>
      </c>
      <c r="J7" s="57"/>
      <c r="K7" s="46"/>
    </row>
    <row r="8" spans="1:11" ht="17.25" customHeight="1" x14ac:dyDescent="0.2">
      <c r="A8" s="37">
        <v>5</v>
      </c>
      <c r="B8" s="38"/>
      <c r="C8" s="38"/>
      <c r="D8" s="38" t="s">
        <v>239</v>
      </c>
      <c r="E8" s="38">
        <v>1</v>
      </c>
      <c r="F8" s="39">
        <v>37316</v>
      </c>
      <c r="G8" s="39">
        <v>42095</v>
      </c>
      <c r="H8" s="38" t="s">
        <v>27</v>
      </c>
      <c r="I8" s="52">
        <v>55555555</v>
      </c>
      <c r="J8" s="57"/>
      <c r="K8" s="46"/>
    </row>
    <row r="9" spans="1:11" ht="17.25" customHeight="1" x14ac:dyDescent="0.2">
      <c r="A9" s="37">
        <v>6</v>
      </c>
      <c r="B9" s="38" t="s">
        <v>246</v>
      </c>
      <c r="C9" s="38"/>
      <c r="D9" s="38" t="s">
        <v>240</v>
      </c>
      <c r="E9" s="38">
        <v>1</v>
      </c>
      <c r="F9" s="39">
        <v>37317</v>
      </c>
      <c r="G9" s="39">
        <v>42095</v>
      </c>
      <c r="H9" s="38" t="s">
        <v>27</v>
      </c>
      <c r="I9" s="52" t="s">
        <v>242</v>
      </c>
      <c r="J9" s="57"/>
      <c r="K9" s="46"/>
    </row>
    <row r="10" spans="1:11" ht="17.25" customHeight="1" x14ac:dyDescent="0.2">
      <c r="A10" s="37">
        <v>7</v>
      </c>
      <c r="B10" s="38"/>
      <c r="C10" s="38"/>
      <c r="D10" s="38"/>
      <c r="E10" s="38"/>
      <c r="F10" s="39"/>
      <c r="G10" s="39"/>
      <c r="H10" s="38"/>
      <c r="I10" s="52"/>
      <c r="J10" s="57"/>
      <c r="K10" s="46"/>
    </row>
    <row r="11" spans="1:11" ht="17.25" customHeight="1" x14ac:dyDescent="0.2">
      <c r="A11" s="37">
        <v>8</v>
      </c>
      <c r="B11" s="38"/>
      <c r="C11" s="38"/>
      <c r="D11" s="38"/>
      <c r="E11" s="38"/>
      <c r="F11" s="39"/>
      <c r="G11" s="39"/>
      <c r="H11" s="38"/>
      <c r="I11" s="52"/>
      <c r="J11" s="57"/>
      <c r="K11" s="46"/>
    </row>
    <row r="12" spans="1:11" ht="17.25" customHeight="1" x14ac:dyDescent="0.2">
      <c r="A12" s="37">
        <v>9</v>
      </c>
      <c r="B12" s="38"/>
      <c r="C12" s="38"/>
      <c r="D12" s="38"/>
      <c r="E12" s="38"/>
      <c r="F12" s="39"/>
      <c r="G12" s="39"/>
      <c r="H12" s="38"/>
      <c r="I12" s="52"/>
      <c r="J12" s="57"/>
      <c r="K12" s="46"/>
    </row>
    <row r="13" spans="1:11" ht="17.25" customHeight="1" x14ac:dyDescent="0.2">
      <c r="A13" s="37">
        <v>10</v>
      </c>
      <c r="B13" s="38"/>
      <c r="C13" s="38"/>
      <c r="D13" s="38"/>
      <c r="E13" s="38"/>
      <c r="F13" s="39"/>
      <c r="G13" s="39"/>
      <c r="H13" s="38"/>
      <c r="I13" s="52"/>
      <c r="J13" s="57"/>
      <c r="K13" s="46"/>
    </row>
    <row r="14" spans="1:11" ht="17.25" customHeight="1" x14ac:dyDescent="0.2">
      <c r="A14" s="37">
        <v>11</v>
      </c>
      <c r="B14" s="38"/>
      <c r="C14" s="38"/>
      <c r="D14" s="38"/>
      <c r="E14" s="38"/>
      <c r="F14" s="39"/>
      <c r="G14" s="39"/>
      <c r="H14" s="38"/>
      <c r="I14" s="52"/>
      <c r="J14" s="57"/>
      <c r="K14" s="46"/>
    </row>
    <row r="15" spans="1:11" ht="17.25" customHeight="1" x14ac:dyDescent="0.2">
      <c r="A15" s="37">
        <v>12</v>
      </c>
      <c r="B15" s="38"/>
      <c r="C15" s="38"/>
      <c r="D15" s="38"/>
      <c r="E15" s="38"/>
      <c r="F15" s="39"/>
      <c r="G15" s="39"/>
      <c r="H15" s="38"/>
      <c r="I15" s="52"/>
      <c r="J15" s="57"/>
      <c r="K15" s="46"/>
    </row>
    <row r="16" spans="1:11" ht="17.25" customHeight="1" x14ac:dyDescent="0.2">
      <c r="A16" s="37">
        <v>13</v>
      </c>
      <c r="B16" s="38"/>
      <c r="C16" s="38"/>
      <c r="D16" s="38"/>
      <c r="E16" s="38"/>
      <c r="F16" s="39"/>
      <c r="G16" s="39"/>
      <c r="H16" s="38"/>
      <c r="I16" s="52"/>
      <c r="J16" s="57"/>
      <c r="K16" s="46"/>
    </row>
    <row r="17" spans="1:11" ht="17.25" customHeight="1" x14ac:dyDescent="0.2">
      <c r="A17" s="37">
        <v>14</v>
      </c>
      <c r="B17" s="38" t="s">
        <v>253</v>
      </c>
      <c r="C17" s="38"/>
      <c r="D17" s="38" t="s">
        <v>252</v>
      </c>
      <c r="E17" s="38">
        <v>1</v>
      </c>
      <c r="F17" s="39">
        <v>37317</v>
      </c>
      <c r="G17" s="39">
        <v>42095</v>
      </c>
      <c r="H17" s="38" t="s">
        <v>27</v>
      </c>
      <c r="I17" s="52" t="s">
        <v>242</v>
      </c>
      <c r="J17" s="57"/>
      <c r="K17" s="46"/>
    </row>
    <row r="18" spans="1:11" ht="17.25" hidden="1" customHeight="1" x14ac:dyDescent="0.2">
      <c r="A18" s="37">
        <v>15</v>
      </c>
      <c r="B18" s="38"/>
      <c r="C18" s="38"/>
      <c r="D18" s="38"/>
      <c r="E18" s="38"/>
      <c r="F18" s="39"/>
      <c r="G18" s="39"/>
      <c r="H18" s="38"/>
      <c r="I18" s="52"/>
      <c r="J18" s="57"/>
      <c r="K18" s="46"/>
    </row>
    <row r="19" spans="1:11" ht="17.25" hidden="1" customHeight="1" x14ac:dyDescent="0.2">
      <c r="A19" s="37">
        <v>16</v>
      </c>
      <c r="B19" s="38"/>
      <c r="C19" s="38"/>
      <c r="D19" s="38"/>
      <c r="E19" s="38"/>
      <c r="F19" s="39"/>
      <c r="G19" s="39"/>
      <c r="H19" s="38"/>
      <c r="I19" s="52"/>
      <c r="J19" s="57"/>
      <c r="K19" s="46"/>
    </row>
    <row r="20" spans="1:11" ht="17.25" hidden="1" customHeight="1" x14ac:dyDescent="0.2">
      <c r="A20" s="37">
        <v>17</v>
      </c>
      <c r="B20" s="38"/>
      <c r="C20" s="38"/>
      <c r="D20" s="38"/>
      <c r="E20" s="38"/>
      <c r="F20" s="39"/>
      <c r="G20" s="39"/>
      <c r="H20" s="38"/>
      <c r="I20" s="52"/>
      <c r="J20" s="57"/>
      <c r="K20" s="46"/>
    </row>
    <row r="21" spans="1:11" ht="17.25" hidden="1" customHeight="1" x14ac:dyDescent="0.2">
      <c r="A21" s="37">
        <v>18</v>
      </c>
      <c r="B21" s="38"/>
      <c r="C21" s="38"/>
      <c r="D21" s="38"/>
      <c r="E21" s="38"/>
      <c r="F21" s="39"/>
      <c r="G21" s="39"/>
      <c r="H21" s="38"/>
      <c r="I21" s="52"/>
      <c r="J21" s="57"/>
      <c r="K21" s="46"/>
    </row>
    <row r="22" spans="1:11" ht="17.25" hidden="1" customHeight="1" x14ac:dyDescent="0.2">
      <c r="A22" s="37">
        <v>19</v>
      </c>
      <c r="B22" s="38"/>
      <c r="C22" s="38"/>
      <c r="D22" s="38"/>
      <c r="E22" s="38"/>
      <c r="F22" s="39"/>
      <c r="G22" s="39"/>
      <c r="H22" s="38"/>
      <c r="I22" s="52"/>
      <c r="J22" s="57"/>
      <c r="K22" s="46"/>
    </row>
    <row r="23" spans="1:11" ht="17.25" hidden="1" customHeight="1" x14ac:dyDescent="0.2">
      <c r="A23" s="37">
        <v>20</v>
      </c>
      <c r="B23" s="38"/>
      <c r="C23" s="38"/>
      <c r="D23" s="38"/>
      <c r="E23" s="38"/>
      <c r="F23" s="39"/>
      <c r="G23" s="39"/>
      <c r="H23" s="38"/>
      <c r="I23" s="52"/>
      <c r="J23" s="57"/>
      <c r="K23" s="46"/>
    </row>
    <row r="24" spans="1:11" ht="17.25" hidden="1" customHeight="1" x14ac:dyDescent="0.2">
      <c r="A24" s="37">
        <v>21</v>
      </c>
      <c r="B24" s="38"/>
      <c r="C24" s="38"/>
      <c r="D24" s="38"/>
      <c r="E24" s="38"/>
      <c r="F24" s="39"/>
      <c r="G24" s="39"/>
      <c r="H24" s="38"/>
      <c r="I24" s="52"/>
      <c r="J24" s="57"/>
      <c r="K24" s="46"/>
    </row>
    <row r="25" spans="1:11" ht="17.25" hidden="1" customHeight="1" x14ac:dyDescent="0.2">
      <c r="A25" s="37">
        <v>22</v>
      </c>
      <c r="B25" s="38"/>
      <c r="C25" s="38"/>
      <c r="D25" s="38"/>
      <c r="E25" s="38"/>
      <c r="F25" s="39"/>
      <c r="G25" s="39"/>
      <c r="H25" s="38"/>
      <c r="I25" s="52"/>
      <c r="J25" s="57"/>
      <c r="K25" s="46"/>
    </row>
    <row r="26" spans="1:11" ht="17.25" hidden="1" customHeight="1" x14ac:dyDescent="0.2">
      <c r="A26" s="37">
        <v>23</v>
      </c>
      <c r="B26" s="38"/>
      <c r="C26" s="38"/>
      <c r="D26" s="38"/>
      <c r="E26" s="38"/>
      <c r="F26" s="39"/>
      <c r="G26" s="39"/>
      <c r="H26" s="38"/>
      <c r="I26" s="52"/>
      <c r="J26" s="57"/>
      <c r="K26" s="46"/>
    </row>
    <row r="27" spans="1:11" ht="17.25" hidden="1" customHeight="1" x14ac:dyDescent="0.2">
      <c r="A27" s="37">
        <v>24</v>
      </c>
      <c r="B27" s="38"/>
      <c r="C27" s="38"/>
      <c r="D27" s="38"/>
      <c r="E27" s="38"/>
      <c r="F27" s="39"/>
      <c r="G27" s="39"/>
      <c r="H27" s="38"/>
      <c r="I27" s="52"/>
      <c r="J27" s="57"/>
      <c r="K27" s="46"/>
    </row>
    <row r="28" spans="1:11" ht="17.25" hidden="1" customHeight="1" x14ac:dyDescent="0.2">
      <c r="A28" s="37">
        <v>25</v>
      </c>
      <c r="B28" s="38"/>
      <c r="C28" s="38"/>
      <c r="D28" s="38"/>
      <c r="E28" s="38"/>
      <c r="F28" s="39"/>
      <c r="G28" s="39"/>
      <c r="H28" s="38"/>
      <c r="I28" s="52"/>
      <c r="J28" s="57"/>
      <c r="K28" s="46"/>
    </row>
    <row r="29" spans="1:11" ht="17.25" hidden="1" customHeight="1" x14ac:dyDescent="0.2">
      <c r="A29" s="37">
        <v>26</v>
      </c>
      <c r="B29" s="38"/>
      <c r="C29" s="38"/>
      <c r="D29" s="38"/>
      <c r="E29" s="38"/>
      <c r="F29" s="39"/>
      <c r="G29" s="39"/>
      <c r="H29" s="38"/>
      <c r="I29" s="52"/>
      <c r="J29" s="57"/>
      <c r="K29" s="46"/>
    </row>
    <row r="30" spans="1:11" ht="17.25" hidden="1" customHeight="1" x14ac:dyDescent="0.2">
      <c r="A30" s="37">
        <v>27</v>
      </c>
      <c r="B30" s="38"/>
      <c r="C30" s="38"/>
      <c r="D30" s="38"/>
      <c r="E30" s="38"/>
      <c r="F30" s="39"/>
      <c r="G30" s="39"/>
      <c r="H30" s="38"/>
      <c r="I30" s="52"/>
      <c r="J30" s="57"/>
      <c r="K30" s="46"/>
    </row>
    <row r="31" spans="1:11" ht="17.25" hidden="1" customHeight="1" x14ac:dyDescent="0.2">
      <c r="A31" s="37">
        <v>28</v>
      </c>
      <c r="B31" s="38"/>
      <c r="C31" s="38"/>
      <c r="D31" s="38"/>
      <c r="E31" s="38"/>
      <c r="F31" s="39"/>
      <c r="G31" s="39"/>
      <c r="H31" s="38"/>
      <c r="I31" s="52"/>
      <c r="J31" s="57"/>
      <c r="K31" s="46"/>
    </row>
    <row r="32" spans="1:11" ht="17.25" hidden="1" customHeight="1" x14ac:dyDescent="0.2">
      <c r="A32" s="37">
        <v>29</v>
      </c>
      <c r="B32" s="38"/>
      <c r="C32" s="38"/>
      <c r="D32" s="38"/>
      <c r="E32" s="38"/>
      <c r="F32" s="39"/>
      <c r="G32" s="39"/>
      <c r="H32" s="38"/>
      <c r="I32" s="52"/>
      <c r="J32" s="57"/>
      <c r="K32" s="46"/>
    </row>
    <row r="33" spans="1:11" ht="17.25" hidden="1" customHeight="1" x14ac:dyDescent="0.2">
      <c r="A33" s="37">
        <v>30</v>
      </c>
      <c r="B33" s="38"/>
      <c r="C33" s="38"/>
      <c r="D33" s="38"/>
      <c r="E33" s="38"/>
      <c r="F33" s="39"/>
      <c r="G33" s="39"/>
      <c r="H33" s="38"/>
      <c r="I33" s="52"/>
      <c r="J33" s="57"/>
      <c r="K33" s="46"/>
    </row>
    <row r="34" spans="1:11" ht="17.25" hidden="1" customHeight="1" x14ac:dyDescent="0.2">
      <c r="A34" s="37">
        <v>31</v>
      </c>
      <c r="B34" s="38"/>
      <c r="C34" s="38"/>
      <c r="D34" s="38"/>
      <c r="E34" s="38"/>
      <c r="F34" s="39"/>
      <c r="G34" s="39"/>
      <c r="H34" s="38"/>
      <c r="I34" s="52"/>
      <c r="J34" s="57"/>
      <c r="K34" s="46"/>
    </row>
    <row r="35" spans="1:11" ht="17.25" hidden="1" customHeight="1" x14ac:dyDescent="0.2">
      <c r="A35" s="37">
        <v>32</v>
      </c>
      <c r="B35" s="38"/>
      <c r="C35" s="38"/>
      <c r="D35" s="38"/>
      <c r="E35" s="38"/>
      <c r="F35" s="39"/>
      <c r="G35" s="39"/>
      <c r="H35" s="38"/>
      <c r="I35" s="52"/>
      <c r="J35" s="57"/>
      <c r="K35" s="46"/>
    </row>
    <row r="36" spans="1:11" ht="17.25" hidden="1" customHeight="1" x14ac:dyDescent="0.2">
      <c r="A36" s="37">
        <v>33</v>
      </c>
      <c r="B36" s="38"/>
      <c r="C36" s="38"/>
      <c r="D36" s="38"/>
      <c r="E36" s="38"/>
      <c r="F36" s="39"/>
      <c r="G36" s="39"/>
      <c r="H36" s="38"/>
      <c r="I36" s="52"/>
      <c r="J36" s="57"/>
      <c r="K36" s="46"/>
    </row>
    <row r="37" spans="1:11" ht="17.25" hidden="1" customHeight="1" x14ac:dyDescent="0.2">
      <c r="A37" s="37">
        <v>34</v>
      </c>
      <c r="B37" s="38"/>
      <c r="C37" s="38"/>
      <c r="D37" s="38"/>
      <c r="E37" s="38"/>
      <c r="F37" s="39"/>
      <c r="G37" s="39"/>
      <c r="H37" s="38"/>
      <c r="I37" s="52"/>
      <c r="J37" s="57"/>
      <c r="K37" s="46"/>
    </row>
    <row r="38" spans="1:11" ht="17.25" hidden="1" customHeight="1" x14ac:dyDescent="0.2">
      <c r="A38" s="37">
        <v>35</v>
      </c>
      <c r="B38" s="38"/>
      <c r="C38" s="38"/>
      <c r="D38" s="40"/>
      <c r="E38" s="38"/>
      <c r="F38" s="40"/>
      <c r="G38" s="40"/>
      <c r="H38" s="38"/>
      <c r="I38" s="53"/>
      <c r="J38" s="57"/>
      <c r="K38" s="46"/>
    </row>
    <row r="39" spans="1:11" ht="17.25" hidden="1" customHeight="1" x14ac:dyDescent="0.2">
      <c r="A39" s="37">
        <v>36</v>
      </c>
      <c r="B39" s="38"/>
      <c r="C39" s="38"/>
      <c r="D39" s="40"/>
      <c r="E39" s="38"/>
      <c r="F39" s="40"/>
      <c r="G39" s="40"/>
      <c r="H39" s="38"/>
      <c r="I39" s="53"/>
      <c r="J39" s="57"/>
      <c r="K39" s="46"/>
    </row>
    <row r="40" spans="1:11" ht="17.25" hidden="1" customHeight="1" x14ac:dyDescent="0.2">
      <c r="A40" s="37">
        <v>37</v>
      </c>
      <c r="B40" s="38"/>
      <c r="C40" s="38"/>
      <c r="D40" s="40"/>
      <c r="E40" s="38"/>
      <c r="F40" s="40"/>
      <c r="G40" s="40"/>
      <c r="H40" s="38"/>
      <c r="I40" s="53"/>
      <c r="J40" s="57"/>
      <c r="K40" s="46"/>
    </row>
    <row r="41" spans="1:11" ht="17.25" hidden="1" customHeight="1" x14ac:dyDescent="0.2">
      <c r="A41" s="37">
        <v>38</v>
      </c>
      <c r="B41" s="38"/>
      <c r="C41" s="38"/>
      <c r="D41" s="40"/>
      <c r="E41" s="38"/>
      <c r="F41" s="40"/>
      <c r="G41" s="40"/>
      <c r="H41" s="38"/>
      <c r="I41" s="53"/>
      <c r="J41" s="57"/>
      <c r="K41" s="46"/>
    </row>
    <row r="42" spans="1:11" ht="17.25" hidden="1" customHeight="1" x14ac:dyDescent="0.2">
      <c r="A42" s="37">
        <v>39</v>
      </c>
      <c r="B42" s="38"/>
      <c r="C42" s="38"/>
      <c r="D42" s="40"/>
      <c r="E42" s="38"/>
      <c r="F42" s="40"/>
      <c r="G42" s="40"/>
      <c r="H42" s="38"/>
      <c r="I42" s="53"/>
      <c r="J42" s="57"/>
      <c r="K42" s="46"/>
    </row>
    <row r="43" spans="1:11" ht="17.25" hidden="1" customHeight="1" x14ac:dyDescent="0.2">
      <c r="A43" s="37">
        <v>40</v>
      </c>
      <c r="B43" s="38"/>
      <c r="C43" s="38"/>
      <c r="D43" s="40"/>
      <c r="E43" s="38"/>
      <c r="F43" s="40"/>
      <c r="G43" s="40"/>
      <c r="H43" s="38"/>
      <c r="I43" s="53"/>
      <c r="J43" s="57"/>
      <c r="K43" s="46"/>
    </row>
    <row r="44" spans="1:11" ht="17.25" hidden="1" customHeight="1" x14ac:dyDescent="0.2">
      <c r="A44" s="37">
        <v>41</v>
      </c>
      <c r="B44" s="38"/>
      <c r="C44" s="38"/>
      <c r="D44" s="40"/>
      <c r="E44" s="38"/>
      <c r="F44" s="40"/>
      <c r="G44" s="40"/>
      <c r="H44" s="38"/>
      <c r="I44" s="53"/>
      <c r="J44" s="57"/>
      <c r="K44" s="46"/>
    </row>
    <row r="45" spans="1:11" ht="17.25" hidden="1" customHeight="1" x14ac:dyDescent="0.2">
      <c r="A45" s="37">
        <v>42</v>
      </c>
      <c r="B45" s="38"/>
      <c r="C45" s="38"/>
      <c r="D45" s="40"/>
      <c r="E45" s="38"/>
      <c r="F45" s="40"/>
      <c r="G45" s="40"/>
      <c r="H45" s="38"/>
      <c r="I45" s="53"/>
      <c r="J45" s="57"/>
      <c r="K45" s="46"/>
    </row>
    <row r="46" spans="1:11" ht="17.25" hidden="1" customHeight="1" x14ac:dyDescent="0.2">
      <c r="A46" s="37">
        <v>43</v>
      </c>
      <c r="B46" s="38"/>
      <c r="C46" s="38"/>
      <c r="D46" s="40"/>
      <c r="E46" s="38"/>
      <c r="F46" s="40"/>
      <c r="G46" s="40"/>
      <c r="H46" s="38"/>
      <c r="I46" s="53"/>
      <c r="J46" s="57"/>
      <c r="K46" s="46"/>
    </row>
    <row r="47" spans="1:11" ht="17.25" hidden="1" customHeight="1" x14ac:dyDescent="0.2">
      <c r="A47" s="37">
        <v>44</v>
      </c>
      <c r="B47" s="38"/>
      <c r="C47" s="38"/>
      <c r="D47" s="40"/>
      <c r="E47" s="38"/>
      <c r="F47" s="40"/>
      <c r="G47" s="40"/>
      <c r="H47" s="38"/>
      <c r="I47" s="53"/>
      <c r="J47" s="57"/>
      <c r="K47" s="46"/>
    </row>
    <row r="48" spans="1:11" ht="17.25" hidden="1" customHeight="1" x14ac:dyDescent="0.2">
      <c r="A48" s="37">
        <v>45</v>
      </c>
      <c r="B48" s="38"/>
      <c r="C48" s="38"/>
      <c r="D48" s="40"/>
      <c r="E48" s="38"/>
      <c r="F48" s="40"/>
      <c r="G48" s="40"/>
      <c r="H48" s="38"/>
      <c r="I48" s="53"/>
      <c r="J48" s="57"/>
      <c r="K48" s="46"/>
    </row>
    <row r="49" spans="1:11" ht="17.25" hidden="1" customHeight="1" x14ac:dyDescent="0.2">
      <c r="A49" s="37">
        <v>46</v>
      </c>
      <c r="B49" s="38"/>
      <c r="C49" s="38"/>
      <c r="D49" s="40"/>
      <c r="E49" s="38"/>
      <c r="F49" s="40"/>
      <c r="G49" s="40"/>
      <c r="H49" s="38"/>
      <c r="I49" s="53"/>
      <c r="J49" s="57"/>
      <c r="K49" s="46"/>
    </row>
    <row r="50" spans="1:11" ht="17.25" hidden="1" customHeight="1" x14ac:dyDescent="0.2">
      <c r="A50" s="37">
        <v>47</v>
      </c>
      <c r="B50" s="38"/>
      <c r="C50" s="38"/>
      <c r="D50" s="40"/>
      <c r="E50" s="38"/>
      <c r="F50" s="40"/>
      <c r="G50" s="40"/>
      <c r="H50" s="38"/>
      <c r="I50" s="53"/>
      <c r="J50" s="57"/>
      <c r="K50" s="46"/>
    </row>
    <row r="51" spans="1:11" ht="17.25" hidden="1" customHeight="1" x14ac:dyDescent="0.2">
      <c r="A51" s="37">
        <v>48</v>
      </c>
      <c r="B51" s="38"/>
      <c r="C51" s="38"/>
      <c r="D51" s="40"/>
      <c r="E51" s="38"/>
      <c r="F51" s="40"/>
      <c r="G51" s="40"/>
      <c r="H51" s="38"/>
      <c r="I51" s="53"/>
      <c r="J51" s="57"/>
      <c r="K51" s="46"/>
    </row>
    <row r="52" spans="1:11" ht="17.25" hidden="1" customHeight="1" x14ac:dyDescent="0.2">
      <c r="A52" s="37">
        <v>49</v>
      </c>
      <c r="B52" s="38"/>
      <c r="C52" s="38"/>
      <c r="D52" s="40"/>
      <c r="E52" s="38"/>
      <c r="F52" s="40"/>
      <c r="G52" s="40"/>
      <c r="H52" s="38"/>
      <c r="I52" s="53"/>
      <c r="J52" s="57"/>
      <c r="K52" s="46"/>
    </row>
    <row r="53" spans="1:11" ht="17.25" hidden="1" customHeight="1" x14ac:dyDescent="0.2">
      <c r="A53" s="37">
        <v>50</v>
      </c>
      <c r="B53" s="38"/>
      <c r="C53" s="38"/>
      <c r="D53" s="40"/>
      <c r="E53" s="38"/>
      <c r="F53" s="40"/>
      <c r="G53" s="40"/>
      <c r="H53" s="38"/>
      <c r="I53" s="53"/>
      <c r="J53" s="57"/>
      <c r="K53" s="46"/>
    </row>
    <row r="54" spans="1:11" ht="17.25" hidden="1" customHeight="1" x14ac:dyDescent="0.2">
      <c r="A54" s="37">
        <v>51</v>
      </c>
      <c r="B54" s="38"/>
      <c r="C54" s="38"/>
      <c r="D54" s="40"/>
      <c r="E54" s="38"/>
      <c r="F54" s="40"/>
      <c r="G54" s="40"/>
      <c r="H54" s="38"/>
      <c r="I54" s="53"/>
      <c r="J54" s="57"/>
      <c r="K54" s="46"/>
    </row>
    <row r="55" spans="1:11" ht="17.25" hidden="1" customHeight="1" x14ac:dyDescent="0.2">
      <c r="A55" s="37">
        <v>52</v>
      </c>
      <c r="B55" s="38"/>
      <c r="C55" s="38"/>
      <c r="D55" s="40"/>
      <c r="E55" s="38"/>
      <c r="F55" s="40"/>
      <c r="G55" s="40"/>
      <c r="H55" s="38"/>
      <c r="I55" s="53"/>
      <c r="J55" s="57"/>
      <c r="K55" s="46"/>
    </row>
    <row r="56" spans="1:11" ht="17.25" hidden="1" customHeight="1" x14ac:dyDescent="0.2">
      <c r="A56" s="37">
        <v>53</v>
      </c>
      <c r="B56" s="38"/>
      <c r="C56" s="38"/>
      <c r="D56" s="40"/>
      <c r="E56" s="38"/>
      <c r="F56" s="40"/>
      <c r="G56" s="40"/>
      <c r="H56" s="38"/>
      <c r="I56" s="53"/>
      <c r="J56" s="57"/>
      <c r="K56" s="46"/>
    </row>
    <row r="57" spans="1:11" ht="17.25" hidden="1" customHeight="1" x14ac:dyDescent="0.2">
      <c r="A57" s="37">
        <v>54</v>
      </c>
      <c r="B57" s="38"/>
      <c r="C57" s="38"/>
      <c r="D57" s="40"/>
      <c r="E57" s="38"/>
      <c r="F57" s="40"/>
      <c r="G57" s="40"/>
      <c r="H57" s="38"/>
      <c r="I57" s="53"/>
      <c r="J57" s="57"/>
      <c r="K57" s="46"/>
    </row>
    <row r="58" spans="1:11" ht="17.25" hidden="1" customHeight="1" x14ac:dyDescent="0.2">
      <c r="A58" s="37">
        <v>55</v>
      </c>
      <c r="B58" s="38"/>
      <c r="C58" s="38"/>
      <c r="D58" s="40"/>
      <c r="E58" s="38"/>
      <c r="F58" s="40"/>
      <c r="G58" s="40"/>
      <c r="H58" s="38"/>
      <c r="I58" s="53"/>
      <c r="J58" s="57"/>
      <c r="K58" s="46"/>
    </row>
    <row r="59" spans="1:11" ht="17.25" hidden="1" customHeight="1" x14ac:dyDescent="0.2">
      <c r="A59" s="37">
        <v>56</v>
      </c>
      <c r="B59" s="38"/>
      <c r="C59" s="38"/>
      <c r="D59" s="40"/>
      <c r="E59" s="38"/>
      <c r="F59" s="40"/>
      <c r="G59" s="40"/>
      <c r="H59" s="38"/>
      <c r="I59" s="53"/>
      <c r="J59" s="57"/>
      <c r="K59" s="46"/>
    </row>
    <row r="60" spans="1:11" ht="17.25" hidden="1" customHeight="1" x14ac:dyDescent="0.2">
      <c r="A60" s="37">
        <v>57</v>
      </c>
      <c r="B60" s="38"/>
      <c r="C60" s="38"/>
      <c r="D60" s="40"/>
      <c r="E60" s="38"/>
      <c r="F60" s="40"/>
      <c r="G60" s="40"/>
      <c r="H60" s="38"/>
      <c r="I60" s="53"/>
      <c r="J60" s="57"/>
      <c r="K60" s="46"/>
    </row>
    <row r="61" spans="1:11" ht="17.25" hidden="1" customHeight="1" x14ac:dyDescent="0.2">
      <c r="A61" s="37">
        <v>58</v>
      </c>
      <c r="B61" s="38"/>
      <c r="C61" s="38"/>
      <c r="D61" s="40"/>
      <c r="E61" s="38"/>
      <c r="F61" s="40"/>
      <c r="G61" s="40"/>
      <c r="H61" s="38"/>
      <c r="I61" s="53"/>
      <c r="J61" s="57"/>
      <c r="K61" s="46"/>
    </row>
    <row r="62" spans="1:11" ht="17.25" hidden="1" customHeight="1" x14ac:dyDescent="0.2">
      <c r="A62" s="37">
        <v>59</v>
      </c>
      <c r="B62" s="38"/>
      <c r="C62" s="38"/>
      <c r="D62" s="40"/>
      <c r="E62" s="38"/>
      <c r="F62" s="40"/>
      <c r="G62" s="40"/>
      <c r="H62" s="38"/>
      <c r="I62" s="53"/>
      <c r="J62" s="57"/>
      <c r="K62" s="46"/>
    </row>
    <row r="63" spans="1:11" ht="17.25" hidden="1" customHeight="1" x14ac:dyDescent="0.2">
      <c r="A63" s="37">
        <v>60</v>
      </c>
      <c r="B63" s="38"/>
      <c r="C63" s="38"/>
      <c r="D63" s="40"/>
      <c r="E63" s="38"/>
      <c r="F63" s="40"/>
      <c r="G63" s="40"/>
      <c r="H63" s="38"/>
      <c r="I63" s="53"/>
      <c r="J63" s="57"/>
      <c r="K63" s="46"/>
    </row>
    <row r="64" spans="1:11" ht="17.25" hidden="1" customHeight="1" x14ac:dyDescent="0.2">
      <c r="A64" s="37">
        <v>61</v>
      </c>
      <c r="B64" s="38"/>
      <c r="C64" s="38"/>
      <c r="D64" s="40"/>
      <c r="E64" s="38"/>
      <c r="F64" s="40"/>
      <c r="G64" s="40"/>
      <c r="H64" s="38"/>
      <c r="I64" s="53"/>
      <c r="J64" s="57"/>
      <c r="K64" s="46"/>
    </row>
    <row r="65" spans="1:11" ht="17.25" hidden="1" customHeight="1" x14ac:dyDescent="0.2">
      <c r="A65" s="37">
        <v>62</v>
      </c>
      <c r="B65" s="38"/>
      <c r="C65" s="38"/>
      <c r="D65" s="40"/>
      <c r="E65" s="38"/>
      <c r="F65" s="40"/>
      <c r="G65" s="40"/>
      <c r="H65" s="38"/>
      <c r="I65" s="53"/>
      <c r="J65" s="57"/>
      <c r="K65" s="46"/>
    </row>
    <row r="66" spans="1:11" ht="17.25" hidden="1" customHeight="1" x14ac:dyDescent="0.2">
      <c r="A66" s="37">
        <v>63</v>
      </c>
      <c r="B66" s="38"/>
      <c r="C66" s="38"/>
      <c r="D66" s="40"/>
      <c r="E66" s="38"/>
      <c r="F66" s="40"/>
      <c r="G66" s="40"/>
      <c r="H66" s="38"/>
      <c r="I66" s="53"/>
      <c r="J66" s="57"/>
      <c r="K66" s="46"/>
    </row>
    <row r="67" spans="1:11" ht="17.25" hidden="1" customHeight="1" x14ac:dyDescent="0.2">
      <c r="A67" s="37">
        <v>64</v>
      </c>
      <c r="B67" s="38"/>
      <c r="C67" s="38"/>
      <c r="D67" s="40"/>
      <c r="E67" s="38"/>
      <c r="F67" s="40"/>
      <c r="G67" s="40"/>
      <c r="H67" s="38"/>
      <c r="I67" s="53"/>
      <c r="J67" s="57"/>
      <c r="K67" s="46"/>
    </row>
    <row r="68" spans="1:11" ht="17.25" hidden="1" customHeight="1" x14ac:dyDescent="0.2">
      <c r="A68" s="37">
        <v>65</v>
      </c>
      <c r="B68" s="38"/>
      <c r="C68" s="38"/>
      <c r="D68" s="40"/>
      <c r="E68" s="38"/>
      <c r="F68" s="40"/>
      <c r="G68" s="40"/>
      <c r="H68" s="38"/>
      <c r="I68" s="53"/>
      <c r="J68" s="57"/>
      <c r="K68" s="46"/>
    </row>
    <row r="69" spans="1:11" ht="17.25" hidden="1" customHeight="1" x14ac:dyDescent="0.2">
      <c r="A69" s="37">
        <v>66</v>
      </c>
      <c r="B69" s="38"/>
      <c r="C69" s="38"/>
      <c r="D69" s="40"/>
      <c r="E69" s="38"/>
      <c r="F69" s="40"/>
      <c r="G69" s="40"/>
      <c r="H69" s="38"/>
      <c r="I69" s="53"/>
      <c r="J69" s="57"/>
      <c r="K69" s="46"/>
    </row>
    <row r="70" spans="1:11" ht="17.25" hidden="1" customHeight="1" x14ac:dyDescent="0.2">
      <c r="A70" s="37">
        <v>67</v>
      </c>
      <c r="B70" s="38"/>
      <c r="C70" s="38"/>
      <c r="D70" s="40"/>
      <c r="E70" s="38"/>
      <c r="F70" s="40"/>
      <c r="G70" s="40"/>
      <c r="H70" s="38"/>
      <c r="I70" s="53"/>
      <c r="J70" s="57"/>
      <c r="K70" s="46"/>
    </row>
    <row r="71" spans="1:11" ht="17.25" hidden="1" customHeight="1" x14ac:dyDescent="0.2">
      <c r="A71" s="37">
        <v>68</v>
      </c>
      <c r="B71" s="38"/>
      <c r="C71" s="38"/>
      <c r="D71" s="40"/>
      <c r="E71" s="38"/>
      <c r="F71" s="40"/>
      <c r="G71" s="40"/>
      <c r="H71" s="38"/>
      <c r="I71" s="53"/>
      <c r="J71" s="57"/>
      <c r="K71" s="46"/>
    </row>
    <row r="72" spans="1:11" ht="17.25" hidden="1" customHeight="1" x14ac:dyDescent="0.2">
      <c r="A72" s="37">
        <v>69</v>
      </c>
      <c r="B72" s="38"/>
      <c r="C72" s="38"/>
      <c r="D72" s="40"/>
      <c r="E72" s="38"/>
      <c r="F72" s="40"/>
      <c r="G72" s="40"/>
      <c r="H72" s="38"/>
      <c r="I72" s="53"/>
      <c r="J72" s="57"/>
      <c r="K72" s="46"/>
    </row>
    <row r="73" spans="1:11" ht="17.25" hidden="1" customHeight="1" x14ac:dyDescent="0.2">
      <c r="A73" s="37">
        <v>70</v>
      </c>
      <c r="B73" s="38"/>
      <c r="C73" s="38"/>
      <c r="D73" s="40"/>
      <c r="E73" s="38"/>
      <c r="F73" s="40"/>
      <c r="G73" s="40"/>
      <c r="H73" s="38"/>
      <c r="I73" s="53"/>
      <c r="J73" s="57"/>
      <c r="K73" s="46"/>
    </row>
    <row r="74" spans="1:11" ht="17.25" hidden="1" customHeight="1" x14ac:dyDescent="0.2">
      <c r="A74" s="37">
        <v>71</v>
      </c>
      <c r="B74" s="38"/>
      <c r="C74" s="38"/>
      <c r="D74" s="40"/>
      <c r="E74" s="38"/>
      <c r="F74" s="40"/>
      <c r="G74" s="40"/>
      <c r="H74" s="38"/>
      <c r="I74" s="53"/>
      <c r="J74" s="57"/>
      <c r="K74" s="46"/>
    </row>
    <row r="75" spans="1:11" ht="17.25" hidden="1" customHeight="1" x14ac:dyDescent="0.2">
      <c r="A75" s="37">
        <v>72</v>
      </c>
      <c r="B75" s="38"/>
      <c r="C75" s="38"/>
      <c r="D75" s="40"/>
      <c r="E75" s="38"/>
      <c r="F75" s="40"/>
      <c r="G75" s="40"/>
      <c r="H75" s="38"/>
      <c r="I75" s="53"/>
      <c r="J75" s="57"/>
      <c r="K75" s="46"/>
    </row>
    <row r="76" spans="1:11" ht="17.25" hidden="1" customHeight="1" x14ac:dyDescent="0.2">
      <c r="A76" s="37">
        <v>73</v>
      </c>
      <c r="B76" s="38"/>
      <c r="C76" s="38"/>
      <c r="D76" s="40"/>
      <c r="E76" s="38"/>
      <c r="F76" s="40"/>
      <c r="G76" s="40"/>
      <c r="H76" s="38"/>
      <c r="I76" s="53"/>
      <c r="J76" s="57"/>
      <c r="K76" s="46"/>
    </row>
    <row r="77" spans="1:11" ht="17.25" hidden="1" customHeight="1" x14ac:dyDescent="0.2">
      <c r="A77" s="37">
        <v>74</v>
      </c>
      <c r="B77" s="38"/>
      <c r="C77" s="38"/>
      <c r="D77" s="40"/>
      <c r="E77" s="38"/>
      <c r="F77" s="40"/>
      <c r="G77" s="40"/>
      <c r="H77" s="38"/>
      <c r="I77" s="53"/>
      <c r="J77" s="57"/>
      <c r="K77" s="46"/>
    </row>
    <row r="78" spans="1:11" ht="17.25" hidden="1" customHeight="1" x14ac:dyDescent="0.2">
      <c r="A78" s="37">
        <v>75</v>
      </c>
      <c r="B78" s="38"/>
      <c r="C78" s="38"/>
      <c r="D78" s="40"/>
      <c r="E78" s="38"/>
      <c r="F78" s="40"/>
      <c r="G78" s="40"/>
      <c r="H78" s="38"/>
      <c r="I78" s="53"/>
      <c r="J78" s="57"/>
      <c r="K78" s="46"/>
    </row>
    <row r="79" spans="1:11" ht="17.25" hidden="1" customHeight="1" x14ac:dyDescent="0.2">
      <c r="A79" s="37">
        <v>76</v>
      </c>
      <c r="B79" s="38"/>
      <c r="C79" s="38"/>
      <c r="D79" s="40"/>
      <c r="E79" s="38"/>
      <c r="F79" s="40"/>
      <c r="G79" s="40"/>
      <c r="H79" s="38"/>
      <c r="I79" s="53"/>
      <c r="J79" s="57"/>
      <c r="K79" s="46"/>
    </row>
    <row r="80" spans="1:11" ht="17.25" hidden="1" customHeight="1" x14ac:dyDescent="0.2">
      <c r="A80" s="37">
        <v>77</v>
      </c>
      <c r="B80" s="38"/>
      <c r="C80" s="38"/>
      <c r="D80" s="40"/>
      <c r="E80" s="38"/>
      <c r="F80" s="40"/>
      <c r="G80" s="40"/>
      <c r="H80" s="38"/>
      <c r="I80" s="53"/>
      <c r="J80" s="57"/>
      <c r="K80" s="46"/>
    </row>
    <row r="81" spans="1:11" ht="17.25" hidden="1" customHeight="1" x14ac:dyDescent="0.2">
      <c r="A81" s="37">
        <v>78</v>
      </c>
      <c r="B81" s="38"/>
      <c r="C81" s="38"/>
      <c r="D81" s="40"/>
      <c r="E81" s="38"/>
      <c r="F81" s="40"/>
      <c r="G81" s="40"/>
      <c r="H81" s="38"/>
      <c r="I81" s="53"/>
      <c r="J81" s="57"/>
      <c r="K81" s="46"/>
    </row>
    <row r="82" spans="1:11" ht="17.25" hidden="1" customHeight="1" x14ac:dyDescent="0.2">
      <c r="A82" s="37">
        <v>79</v>
      </c>
      <c r="B82" s="38"/>
      <c r="C82" s="38"/>
      <c r="D82" s="40"/>
      <c r="E82" s="38"/>
      <c r="F82" s="40"/>
      <c r="G82" s="40"/>
      <c r="H82" s="38"/>
      <c r="I82" s="53"/>
      <c r="J82" s="57"/>
      <c r="K82" s="46"/>
    </row>
    <row r="83" spans="1:11" ht="17.25" hidden="1" customHeight="1" x14ac:dyDescent="0.2">
      <c r="A83" s="37">
        <v>80</v>
      </c>
      <c r="B83" s="38"/>
      <c r="C83" s="38"/>
      <c r="D83" s="40"/>
      <c r="E83" s="38"/>
      <c r="F83" s="40"/>
      <c r="G83" s="40"/>
      <c r="H83" s="38"/>
      <c r="I83" s="53"/>
      <c r="J83" s="57"/>
      <c r="K83" s="46"/>
    </row>
    <row r="84" spans="1:11" ht="17.25" hidden="1" customHeight="1" x14ac:dyDescent="0.2">
      <c r="A84" s="37">
        <v>81</v>
      </c>
      <c r="B84" s="38"/>
      <c r="C84" s="38"/>
      <c r="D84" s="40"/>
      <c r="E84" s="38"/>
      <c r="F84" s="40"/>
      <c r="G84" s="40"/>
      <c r="H84" s="38"/>
      <c r="I84" s="53"/>
      <c r="J84" s="57"/>
      <c r="K84" s="46"/>
    </row>
    <row r="85" spans="1:11" ht="17.25" hidden="1" customHeight="1" x14ac:dyDescent="0.2">
      <c r="A85" s="37">
        <v>82</v>
      </c>
      <c r="B85" s="38"/>
      <c r="C85" s="38"/>
      <c r="D85" s="40"/>
      <c r="E85" s="38"/>
      <c r="F85" s="40"/>
      <c r="G85" s="40"/>
      <c r="H85" s="38"/>
      <c r="I85" s="53"/>
      <c r="J85" s="57"/>
      <c r="K85" s="46"/>
    </row>
    <row r="86" spans="1:11" ht="17.25" hidden="1" customHeight="1" x14ac:dyDescent="0.2">
      <c r="A86" s="37">
        <v>83</v>
      </c>
      <c r="B86" s="38"/>
      <c r="C86" s="38"/>
      <c r="D86" s="40"/>
      <c r="E86" s="38"/>
      <c r="F86" s="40"/>
      <c r="G86" s="40"/>
      <c r="H86" s="38"/>
      <c r="I86" s="53"/>
      <c r="J86" s="57"/>
      <c r="K86" s="46"/>
    </row>
    <row r="87" spans="1:11" ht="17.25" hidden="1" customHeight="1" x14ac:dyDescent="0.2">
      <c r="A87" s="37">
        <v>84</v>
      </c>
      <c r="B87" s="38"/>
      <c r="C87" s="38"/>
      <c r="D87" s="40"/>
      <c r="E87" s="38"/>
      <c r="F87" s="40"/>
      <c r="G87" s="40"/>
      <c r="H87" s="38"/>
      <c r="I87" s="53"/>
      <c r="J87" s="57"/>
      <c r="K87" s="46"/>
    </row>
    <row r="88" spans="1:11" ht="17.25" hidden="1" customHeight="1" x14ac:dyDescent="0.2">
      <c r="A88" s="37">
        <v>85</v>
      </c>
      <c r="B88" s="38"/>
      <c r="C88" s="38"/>
      <c r="D88" s="40"/>
      <c r="E88" s="38"/>
      <c r="F88" s="40"/>
      <c r="G88" s="40"/>
      <c r="H88" s="38"/>
      <c r="I88" s="53"/>
      <c r="J88" s="57"/>
      <c r="K88" s="46"/>
    </row>
    <row r="89" spans="1:11" ht="17.25" hidden="1" customHeight="1" x14ac:dyDescent="0.2">
      <c r="A89" s="37">
        <v>86</v>
      </c>
      <c r="B89" s="38"/>
      <c r="C89" s="38"/>
      <c r="D89" s="40"/>
      <c r="E89" s="38"/>
      <c r="F89" s="40"/>
      <c r="G89" s="40"/>
      <c r="H89" s="38"/>
      <c r="I89" s="53"/>
      <c r="J89" s="57"/>
      <c r="K89" s="46"/>
    </row>
    <row r="90" spans="1:11" ht="17.25" hidden="1" customHeight="1" x14ac:dyDescent="0.2">
      <c r="A90" s="37">
        <v>87</v>
      </c>
      <c r="B90" s="38"/>
      <c r="C90" s="38"/>
      <c r="D90" s="40"/>
      <c r="E90" s="38"/>
      <c r="F90" s="40"/>
      <c r="G90" s="40"/>
      <c r="H90" s="38"/>
      <c r="I90" s="53"/>
      <c r="J90" s="57"/>
      <c r="K90" s="46"/>
    </row>
    <row r="91" spans="1:11" ht="17.25" hidden="1" customHeight="1" x14ac:dyDescent="0.2">
      <c r="A91" s="37">
        <v>88</v>
      </c>
      <c r="B91" s="38"/>
      <c r="C91" s="38"/>
      <c r="D91" s="40"/>
      <c r="E91" s="38"/>
      <c r="F91" s="40"/>
      <c r="G91" s="40"/>
      <c r="H91" s="38"/>
      <c r="I91" s="53"/>
      <c r="J91" s="57"/>
      <c r="K91" s="46"/>
    </row>
    <row r="92" spans="1:11" ht="17.25" hidden="1" customHeight="1" x14ac:dyDescent="0.2">
      <c r="A92" s="37">
        <v>89</v>
      </c>
      <c r="B92" s="38"/>
      <c r="C92" s="38"/>
      <c r="D92" s="40"/>
      <c r="E92" s="38"/>
      <c r="F92" s="40"/>
      <c r="G92" s="40"/>
      <c r="H92" s="38"/>
      <c r="I92" s="53"/>
      <c r="J92" s="57"/>
      <c r="K92" s="46"/>
    </row>
    <row r="93" spans="1:11" ht="17.25" hidden="1" customHeight="1" x14ac:dyDescent="0.2">
      <c r="A93" s="37">
        <v>90</v>
      </c>
      <c r="B93" s="38"/>
      <c r="C93" s="38"/>
      <c r="D93" s="40"/>
      <c r="E93" s="38"/>
      <c r="F93" s="40"/>
      <c r="G93" s="40"/>
      <c r="H93" s="38"/>
      <c r="I93" s="53"/>
      <c r="J93" s="57"/>
      <c r="K93" s="46"/>
    </row>
    <row r="94" spans="1:11" ht="17.25" hidden="1" customHeight="1" x14ac:dyDescent="0.2">
      <c r="A94" s="37">
        <v>91</v>
      </c>
      <c r="B94" s="38"/>
      <c r="C94" s="38"/>
      <c r="D94" s="40"/>
      <c r="E94" s="38"/>
      <c r="F94" s="40"/>
      <c r="G94" s="40"/>
      <c r="H94" s="38"/>
      <c r="I94" s="53"/>
      <c r="J94" s="57"/>
      <c r="K94" s="46"/>
    </row>
    <row r="95" spans="1:11" ht="17.25" hidden="1" customHeight="1" x14ac:dyDescent="0.2">
      <c r="A95" s="37">
        <v>92</v>
      </c>
      <c r="B95" s="38"/>
      <c r="C95" s="38"/>
      <c r="D95" s="40"/>
      <c r="E95" s="38"/>
      <c r="F95" s="40"/>
      <c r="G95" s="40"/>
      <c r="H95" s="38"/>
      <c r="I95" s="53"/>
      <c r="J95" s="57"/>
      <c r="K95" s="46"/>
    </row>
    <row r="96" spans="1:11" ht="17.25" hidden="1" customHeight="1" x14ac:dyDescent="0.2">
      <c r="A96" s="37">
        <v>93</v>
      </c>
      <c r="B96" s="38"/>
      <c r="C96" s="38"/>
      <c r="D96" s="40"/>
      <c r="E96" s="38"/>
      <c r="F96" s="40"/>
      <c r="G96" s="40"/>
      <c r="H96" s="38"/>
      <c r="I96" s="53"/>
      <c r="J96" s="57"/>
      <c r="K96" s="46"/>
    </row>
    <row r="97" spans="1:11" ht="17.25" hidden="1" customHeight="1" x14ac:dyDescent="0.2">
      <c r="A97" s="37">
        <v>94</v>
      </c>
      <c r="B97" s="38"/>
      <c r="C97" s="38"/>
      <c r="D97" s="40"/>
      <c r="E97" s="38"/>
      <c r="F97" s="40"/>
      <c r="G97" s="40"/>
      <c r="H97" s="38"/>
      <c r="I97" s="53"/>
      <c r="J97" s="57"/>
      <c r="K97" s="46"/>
    </row>
    <row r="98" spans="1:11" ht="17.25" hidden="1" customHeight="1" x14ac:dyDescent="0.2">
      <c r="A98" s="37">
        <v>95</v>
      </c>
      <c r="B98" s="38"/>
      <c r="C98" s="38"/>
      <c r="D98" s="40"/>
      <c r="E98" s="38"/>
      <c r="F98" s="40"/>
      <c r="G98" s="40"/>
      <c r="H98" s="38"/>
      <c r="I98" s="53"/>
      <c r="J98" s="57"/>
      <c r="K98" s="46"/>
    </row>
    <row r="99" spans="1:11" ht="17.25" hidden="1" customHeight="1" x14ac:dyDescent="0.2">
      <c r="A99" s="37">
        <v>96</v>
      </c>
      <c r="B99" s="38"/>
      <c r="C99" s="38"/>
      <c r="D99" s="40"/>
      <c r="E99" s="38"/>
      <c r="F99" s="40"/>
      <c r="G99" s="40"/>
      <c r="H99" s="38"/>
      <c r="I99" s="53"/>
      <c r="J99" s="57"/>
      <c r="K99" s="46"/>
    </row>
    <row r="100" spans="1:11" ht="17.25" hidden="1" customHeight="1" x14ac:dyDescent="0.2">
      <c r="A100" s="37">
        <v>97</v>
      </c>
      <c r="B100" s="38"/>
      <c r="C100" s="38"/>
      <c r="D100" s="40"/>
      <c r="E100" s="38"/>
      <c r="F100" s="40"/>
      <c r="G100" s="40"/>
      <c r="H100" s="38"/>
      <c r="I100" s="53"/>
      <c r="J100" s="57"/>
      <c r="K100" s="46"/>
    </row>
    <row r="101" spans="1:11" ht="17.25" hidden="1" customHeight="1" x14ac:dyDescent="0.2">
      <c r="A101" s="37">
        <v>98</v>
      </c>
      <c r="B101" s="38"/>
      <c r="C101" s="38"/>
      <c r="D101" s="40"/>
      <c r="E101" s="38"/>
      <c r="F101" s="40"/>
      <c r="G101" s="40"/>
      <c r="H101" s="38"/>
      <c r="I101" s="53"/>
      <c r="J101" s="57"/>
      <c r="K101" s="46"/>
    </row>
    <row r="102" spans="1:11" ht="17.25" hidden="1" customHeight="1" x14ac:dyDescent="0.2">
      <c r="A102" s="37">
        <v>99</v>
      </c>
      <c r="B102" s="38"/>
      <c r="C102" s="38"/>
      <c r="D102" s="40"/>
      <c r="E102" s="38"/>
      <c r="F102" s="40"/>
      <c r="G102" s="40"/>
      <c r="H102" s="38"/>
      <c r="I102" s="53"/>
      <c r="J102" s="57"/>
      <c r="K102" s="46"/>
    </row>
    <row r="103" spans="1:11" ht="17.25" hidden="1" customHeight="1" thickBot="1" x14ac:dyDescent="0.25">
      <c r="A103" s="41">
        <v>100</v>
      </c>
      <c r="B103" s="42"/>
      <c r="C103" s="42"/>
      <c r="D103" s="43"/>
      <c r="E103" s="42"/>
      <c r="F103" s="43"/>
      <c r="G103" s="43"/>
      <c r="H103" s="42"/>
      <c r="I103" s="54"/>
      <c r="J103" s="58"/>
      <c r="K103" s="47"/>
    </row>
  </sheetData>
  <phoneticPr fontId="1"/>
  <dataValidations count="5">
    <dataValidation type="list" allowBlank="1" showInputMessage="1" showErrorMessage="1" sqref="B4:B103">
      <formula1>"1A,1B,2A,2B,3A,3B,4A,4B,5A,5B,6A,6B,7A,7B"</formula1>
    </dataValidation>
    <dataValidation type="list" allowBlank="1" showInputMessage="1" showErrorMessage="1" sqref="E4:E103">
      <formula1>"3,2,1"</formula1>
    </dataValidation>
    <dataValidation type="list" allowBlank="1" showInputMessage="1" showErrorMessage="1" sqref="H4:H103">
      <formula1>"入学,転入"</formula1>
    </dataValidation>
    <dataValidation type="list" allowBlank="1" showInputMessage="1" showErrorMessage="1" sqref="C4:C103">
      <formula1>"1,2,3,4,5,6,7,8"</formula1>
    </dataValidation>
    <dataValidation type="list" allowBlank="1" showInputMessage="1" showErrorMessage="1" sqref="B4:B3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4"/>
  <sheetViews>
    <sheetView tabSelected="1" workbookViewId="0">
      <selection sqref="A1:C1"/>
    </sheetView>
  </sheetViews>
  <sheetFormatPr defaultColWidth="8.88671875" defaultRowHeight="13.2" x14ac:dyDescent="0.2"/>
  <cols>
    <col min="1" max="1" width="3.44140625" customWidth="1"/>
    <col min="2" max="2" width="3.109375" customWidth="1"/>
    <col min="3" max="3" width="3.88671875" customWidth="1"/>
    <col min="4" max="4" width="6.109375" customWidth="1"/>
    <col min="5" max="5" width="9.6640625" customWidth="1"/>
    <col min="6" max="6" width="4.88671875" customWidth="1"/>
    <col min="7" max="7" width="3.109375" customWidth="1"/>
    <col min="8" max="8" width="4.6640625" customWidth="1"/>
    <col min="9" max="9" width="1.6640625" customWidth="1"/>
    <col min="10" max="10" width="4.109375" customWidth="1"/>
    <col min="11" max="11" width="3.44140625" customWidth="1"/>
    <col min="12" max="12" width="3.109375" customWidth="1"/>
    <col min="13" max="13" width="9.88671875" customWidth="1"/>
    <col min="14" max="14" width="6.109375" customWidth="1"/>
    <col min="15" max="15" width="6.88671875" customWidth="1"/>
    <col min="16" max="16" width="10" customWidth="1"/>
  </cols>
  <sheetData>
    <row r="1" spans="1:16" ht="27" customHeight="1" thickTop="1" thickBot="1" x14ac:dyDescent="0.25">
      <c r="A1" s="87" t="s">
        <v>257</v>
      </c>
      <c r="B1" s="88"/>
      <c r="C1" s="89"/>
    </row>
    <row r="2" spans="1:16" ht="19.8" thickTop="1" x14ac:dyDescent="0.2">
      <c r="A2" s="98" t="str">
        <f>IF($A$1="全九州",$A$52,IF($A$1="全国",$A$53,IF($A$1="新人",$A$54,"")))</f>
        <v>福岡県高等学校ソフトテニス新人大会　中部ブロック予選会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">
      <c r="A3" s="99" t="str">
        <f>IF($A$1="全九州",$B$52,IF($A$1="全国",$B$53,IF($A$1="新人",$B$54,"")))</f>
        <v>（ 兼 全九州高等学校新人ソフトテニス大会　福岡県中部ブロック予選 ）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">
      <c r="A4" s="99" t="str">
        <f>IF($A$1="全国",$B$52,"")</f>
        <v/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9.25" customHeight="1" x14ac:dyDescent="0.2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6.8" thickBot="1" x14ac:dyDescent="0.25">
      <c r="A6" s="107" t="s">
        <v>1</v>
      </c>
      <c r="B6" s="107"/>
      <c r="C6" s="107"/>
      <c r="D6" s="107" t="s">
        <v>21</v>
      </c>
      <c r="E6" s="10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2">
      <c r="A7" s="115" t="s">
        <v>20</v>
      </c>
      <c r="B7" s="111"/>
      <c r="C7" s="112"/>
      <c r="D7" s="63" t="s">
        <v>2</v>
      </c>
      <c r="E7" s="120" t="str">
        <f>IF(B7="","",VLOOKUP(B7,学校リスト!$A$2:$F$51,2) &amp; "学校")</f>
        <v/>
      </c>
      <c r="F7" s="120"/>
      <c r="G7" s="120"/>
      <c r="H7" s="120"/>
      <c r="I7" s="120"/>
      <c r="J7" s="120"/>
      <c r="K7" s="121"/>
      <c r="L7" s="101" t="s">
        <v>6</v>
      </c>
      <c r="M7" s="124" t="str">
        <f>"〒" &amp; IF(B7="","",VLOOKUP(B7,学校リスト!$A$2:$F$51,3))</f>
        <v>〒</v>
      </c>
      <c r="N7" s="125"/>
      <c r="O7" s="125"/>
      <c r="P7" s="126"/>
    </row>
    <row r="8" spans="1:16" ht="18.75" customHeight="1" x14ac:dyDescent="0.2">
      <c r="A8" s="116"/>
      <c r="B8" s="113"/>
      <c r="C8" s="114"/>
      <c r="D8" s="64"/>
      <c r="E8" s="122"/>
      <c r="F8" s="122"/>
      <c r="G8" s="122"/>
      <c r="H8" s="122"/>
      <c r="I8" s="122"/>
      <c r="J8" s="122"/>
      <c r="K8" s="123"/>
      <c r="L8" s="117"/>
      <c r="M8" s="127" t="str">
        <f>IF(B7="","",VLOOKUP(B7,学校リスト!$A$2:$F$51,4))</f>
        <v/>
      </c>
      <c r="N8" s="128"/>
      <c r="O8" s="128"/>
      <c r="P8" s="129"/>
    </row>
    <row r="9" spans="1:16" ht="26.25" customHeight="1" thickBot="1" x14ac:dyDescent="0.25">
      <c r="A9" s="106" t="s">
        <v>3</v>
      </c>
      <c r="B9" s="77"/>
      <c r="C9" s="77"/>
      <c r="D9" s="1" t="s">
        <v>4</v>
      </c>
      <c r="E9" s="13"/>
      <c r="F9" s="1" t="s">
        <v>5</v>
      </c>
      <c r="G9" s="118"/>
      <c r="H9" s="118"/>
      <c r="I9" s="118"/>
      <c r="J9" s="118"/>
      <c r="K9" s="119"/>
      <c r="L9" s="102"/>
      <c r="M9" s="130" t="str">
        <f>"℡  " &amp; IF(B7="","（　　　　  ）　　　  　－　　　  　　",VLOOKUP(B7,学校リスト!$A$2:$F$51,5))</f>
        <v>℡  （　　　　  ）　　　  　－　　　  　　</v>
      </c>
      <c r="N9" s="131"/>
      <c r="O9" s="131"/>
      <c r="P9" s="132"/>
    </row>
    <row r="10" spans="1:16" ht="24.75" customHeight="1" thickBot="1" x14ac:dyDescent="0.25">
      <c r="A10" s="90" t="s">
        <v>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x14ac:dyDescent="0.2">
      <c r="A11" s="101" t="s">
        <v>8</v>
      </c>
      <c r="B11" s="103" t="s">
        <v>9</v>
      </c>
      <c r="C11" s="63" t="s">
        <v>163</v>
      </c>
      <c r="D11" s="63"/>
      <c r="E11" s="63"/>
      <c r="F11" s="63"/>
      <c r="G11" s="63"/>
      <c r="H11" s="63"/>
      <c r="I11" s="133"/>
      <c r="K11" s="101" t="s">
        <v>10</v>
      </c>
      <c r="L11" s="103" t="s">
        <v>9</v>
      </c>
      <c r="M11" s="63" t="s">
        <v>5</v>
      </c>
      <c r="N11" s="63"/>
      <c r="O11" s="63"/>
      <c r="P11" s="2"/>
    </row>
    <row r="12" spans="1:16" ht="31.5" customHeight="1" thickBot="1" x14ac:dyDescent="0.25">
      <c r="A12" s="102"/>
      <c r="B12" s="104"/>
      <c r="C12" s="105"/>
      <c r="D12" s="105"/>
      <c r="E12" s="105"/>
      <c r="F12" s="105"/>
      <c r="G12" s="92"/>
      <c r="H12" s="93"/>
      <c r="I12" s="94"/>
      <c r="K12" s="102"/>
      <c r="L12" s="104"/>
      <c r="M12" s="105"/>
      <c r="N12" s="105"/>
      <c r="O12" s="105"/>
      <c r="P12" s="10"/>
    </row>
    <row r="13" spans="1:16" ht="27" customHeight="1" thickBot="1" x14ac:dyDescent="0.25">
      <c r="A13" s="90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7.25" customHeight="1" thickBot="1" x14ac:dyDescent="0.25">
      <c r="A14" s="3"/>
      <c r="B14" s="91" t="s">
        <v>164</v>
      </c>
      <c r="C14" s="91"/>
      <c r="D14" s="91"/>
      <c r="E14" s="91"/>
      <c r="F14" s="91"/>
      <c r="G14" s="91"/>
      <c r="H14" s="4" t="s">
        <v>12</v>
      </c>
      <c r="I14" s="95" t="s">
        <v>13</v>
      </c>
      <c r="J14" s="91"/>
      <c r="K14" s="91"/>
      <c r="L14" s="91"/>
      <c r="M14" s="91"/>
      <c r="N14" s="96"/>
      <c r="O14" s="97" t="s">
        <v>14</v>
      </c>
      <c r="P14" s="96"/>
    </row>
    <row r="15" spans="1:16" ht="18.75" customHeight="1" x14ac:dyDescent="0.2">
      <c r="A15" s="60">
        <v>1</v>
      </c>
      <c r="B15" s="63" t="s">
        <v>15</v>
      </c>
      <c r="C15" s="65" t="str">
        <f>IF(ISNA(VLOOKUP("1A",選手リスト!$B$4:$I$103,3,FALSE)),"",VLOOKUP("1A",選手リスト!$B$4:$I$103,3,FALSE))</f>
        <v>福岡　太郎</v>
      </c>
      <c r="D15" s="65"/>
      <c r="E15" s="65"/>
      <c r="F15" s="65"/>
      <c r="G15" s="65"/>
      <c r="H15" s="67">
        <f>IF(ISNA(VLOOKUP("1A",選手リスト!$B$4:$I$103,4,FALSE)),"",VLOOKUP("1A",選手リスト!$B$4:$I$103,4,FALSE))</f>
        <v>3</v>
      </c>
      <c r="I15" s="69">
        <f>IF(ISNA(VLOOKUP("1A",選手リスト!$B$4:$I$103,5,FALSE)),"",VLOOKUP("1A",選手リスト!$B$4:$I$103,5,FALSE))</f>
        <v>36526</v>
      </c>
      <c r="J15" s="70" t="str">
        <f>VLOOKUP("1A",選手リスト!$B$4:$I$37,3,FALSE)</f>
        <v>福岡　太郎</v>
      </c>
      <c r="K15" s="70" t="str">
        <f>VLOOKUP("1A",選手リスト!$B$4:$I$37,3,FALSE)</f>
        <v>福岡　太郎</v>
      </c>
      <c r="L15" s="70" t="str">
        <f>VLOOKUP("1A",選手リスト!$B$4:$I$37,3,FALSE)</f>
        <v>福岡　太郎</v>
      </c>
      <c r="M15" s="71" t="str">
        <f>VLOOKUP("1A",選手リスト!$B$4:$I$37,3,FALSE)</f>
        <v>福岡　太郎</v>
      </c>
      <c r="N15" s="6" t="s">
        <v>17</v>
      </c>
      <c r="O15" s="72">
        <f>IF(ISNA(VLOOKUP("1A",選手リスト!$B$4:$I$103,8,FALSE)),"",VLOOKUP("1A",選手リスト!$B$4:$I$103,8,FALSE))</f>
        <v>111111111</v>
      </c>
      <c r="P15" s="67"/>
    </row>
    <row r="16" spans="1:16" ht="18.75" customHeight="1" x14ac:dyDescent="0.2">
      <c r="A16" s="61"/>
      <c r="B16" s="64"/>
      <c r="C16" s="66"/>
      <c r="D16" s="66"/>
      <c r="E16" s="66"/>
      <c r="F16" s="66"/>
      <c r="G16" s="66"/>
      <c r="H16" s="68"/>
      <c r="I16" s="74">
        <f>IF(ISNA(VLOOKUP("1A",選手リスト!$B$4:$I$103,6,FALSE)),"",VLOOKUP("1A",選手リスト!$B$4:$I$103,6,FALSE))</f>
        <v>41365</v>
      </c>
      <c r="J16" s="75" t="str">
        <f>VLOOKUP("1A",選手リスト!$B$4:$I$37,3,FALSE)</f>
        <v>福岡　太郎</v>
      </c>
      <c r="K16" s="75" t="str">
        <f>VLOOKUP("1A",選手リスト!$B$4:$I$37,3,FALSE)</f>
        <v>福岡　太郎</v>
      </c>
      <c r="L16" s="75" t="str">
        <f>VLOOKUP("1A",選手リスト!$B$4:$I$37,3,FALSE)</f>
        <v>福岡　太郎</v>
      </c>
      <c r="M16" s="76" t="str">
        <f>VLOOKUP("1A",選手リスト!$B$4:$I$37,3,FALSE)</f>
        <v>福岡　太郎</v>
      </c>
      <c r="N16" s="24" t="str">
        <f>IF(ISNA(VLOOKUP("1A",選手リスト!$B$4:$I$103,7,FALSE)),"",VLOOKUP("1A",選手リスト!$B$4:$I$103,7,FALSE))</f>
        <v>入学</v>
      </c>
      <c r="O16" s="73"/>
      <c r="P16" s="68"/>
    </row>
    <row r="17" spans="1:16" ht="18.75" customHeight="1" x14ac:dyDescent="0.2">
      <c r="A17" s="61"/>
      <c r="B17" s="64" t="s">
        <v>16</v>
      </c>
      <c r="C17" s="66" t="str">
        <f>IF(ISNA(VLOOKUP("1B",選手リスト!$B$4:$I$103,3,FALSE)),"",VLOOKUP("1B",選手リスト!$B$4:$I$103,3,FALSE))</f>
        <v>福岡　次郎</v>
      </c>
      <c r="D17" s="66"/>
      <c r="E17" s="66"/>
      <c r="F17" s="66"/>
      <c r="G17" s="66"/>
      <c r="H17" s="68">
        <f>IF(ISNA(VLOOKUP("1B",選手リスト!$B$4:$I$103,4,FALSE)),"",VLOOKUP("1B",選手リスト!$B$4:$I$103,4,FALSE))</f>
        <v>3</v>
      </c>
      <c r="I17" s="80">
        <f>IF(ISNA(VLOOKUP("1B",選手リスト!$B$4:$I$103,5,FALSE)),"",VLOOKUP("1B",選手リスト!$B$4:$I$103,5,FALSE))</f>
        <v>36527</v>
      </c>
      <c r="J17" s="81" t="str">
        <f>VLOOKUP("1A",選手リスト!$B$4:$I$37,3,FALSE)</f>
        <v>福岡　太郎</v>
      </c>
      <c r="K17" s="81" t="str">
        <f>VLOOKUP("1A",選手リスト!$B$4:$I$37,3,FALSE)</f>
        <v>福岡　太郎</v>
      </c>
      <c r="L17" s="81" t="str">
        <f>VLOOKUP("1A",選手リスト!$B$4:$I$37,3,FALSE)</f>
        <v>福岡　太郎</v>
      </c>
      <c r="M17" s="82" t="str">
        <f>VLOOKUP("1A",選手リスト!$B$4:$I$37,3,FALSE)</f>
        <v>福岡　太郎</v>
      </c>
      <c r="N17" s="8" t="s">
        <v>25</v>
      </c>
      <c r="O17" s="73">
        <f>IF(ISNA(VLOOKUP("1B",選手リスト!$B$4:$I$103,8,FALSE)),"",VLOOKUP("1B",選手リスト!$B$4:$I$103,8,FALSE))</f>
        <v>22222222</v>
      </c>
      <c r="P17" s="68"/>
    </row>
    <row r="18" spans="1:16" ht="18.75" customHeight="1" thickBot="1" x14ac:dyDescent="0.25">
      <c r="A18" s="62"/>
      <c r="B18" s="77"/>
      <c r="C18" s="78"/>
      <c r="D18" s="78"/>
      <c r="E18" s="78"/>
      <c r="F18" s="78"/>
      <c r="G18" s="78"/>
      <c r="H18" s="79"/>
      <c r="I18" s="84">
        <f>IF(ISNA(VLOOKUP("1B",選手リスト!$B$4:$I$103,6,FALSE)),"",VLOOKUP("1B",選手リスト!$B$4:$I$103,6,FALSE))</f>
        <v>41365</v>
      </c>
      <c r="J18" s="85" t="str">
        <f>VLOOKUP("1A",選手リスト!$B$4:$I$37,3,FALSE)</f>
        <v>福岡　太郎</v>
      </c>
      <c r="K18" s="85" t="str">
        <f>VLOOKUP("1A",選手リスト!$B$4:$I$37,3,FALSE)</f>
        <v>福岡　太郎</v>
      </c>
      <c r="L18" s="85" t="str">
        <f>VLOOKUP("1A",選手リスト!$B$4:$I$37,3,FALSE)</f>
        <v>福岡　太郎</v>
      </c>
      <c r="M18" s="86" t="str">
        <f>VLOOKUP("1A",選手リスト!$B$4:$I$37,3,FALSE)</f>
        <v>福岡　太郎</v>
      </c>
      <c r="N18" s="7" t="str">
        <f>IF(ISNA(VLOOKUP("1B",選手リスト!$B$4:$I$103,7,FALSE)),"",VLOOKUP("1B",選手リスト!$B$4:$I$103,7,FALSE))</f>
        <v>入学</v>
      </c>
      <c r="O18" s="83"/>
      <c r="P18" s="79"/>
    </row>
    <row r="19" spans="1:16" ht="18.75" customHeight="1" x14ac:dyDescent="0.2">
      <c r="A19" s="60">
        <v>2</v>
      </c>
      <c r="B19" s="63" t="s">
        <v>15</v>
      </c>
      <c r="C19" s="65" t="str">
        <f>IF(ISNA(VLOOKUP("2A",選手リスト!$B$4:$I$103,3,FALSE)),"",VLOOKUP("2A",選手リスト!$B$4:$I$103,3,FALSE))</f>
        <v>福岡　四郎</v>
      </c>
      <c r="D19" s="65"/>
      <c r="E19" s="65"/>
      <c r="F19" s="65"/>
      <c r="G19" s="65"/>
      <c r="H19" s="67">
        <f>IF(ISNA(VLOOKUP("2A",選手リスト!$B$4:$I$103,4,FALSE)),"",VLOOKUP("2A",選手リスト!$B$4:$I$103,4,FALSE))</f>
        <v>2</v>
      </c>
      <c r="I19" s="69">
        <f>IF(ISNA(VLOOKUP("2A",選手リスト!$B$4:$I$103,5,FALSE)),"",VLOOKUP("2A",選手リスト!$B$4:$I$103,5,FALSE))</f>
        <v>36924</v>
      </c>
      <c r="J19" s="70" t="str">
        <f>VLOOKUP("1A",選手リスト!$B$4:$I$37,3,FALSE)</f>
        <v>福岡　太郎</v>
      </c>
      <c r="K19" s="70" t="str">
        <f>VLOOKUP("1A",選手リスト!$B$4:$I$37,3,FALSE)</f>
        <v>福岡　太郎</v>
      </c>
      <c r="L19" s="70" t="str">
        <f>VLOOKUP("1A",選手リスト!$B$4:$I$37,3,FALSE)</f>
        <v>福岡　太郎</v>
      </c>
      <c r="M19" s="71" t="str">
        <f>VLOOKUP("1A",選手リスト!$B$4:$I$37,3,FALSE)</f>
        <v>福岡　太郎</v>
      </c>
      <c r="N19" s="6" t="s">
        <v>17</v>
      </c>
      <c r="O19" s="72">
        <f>IF(ISNA(VLOOKUP("2A",選手リスト!$B$4:$I$103,8,FALSE)),"",VLOOKUP("2A",選手リスト!$B$4:$I$103,8,FALSE))</f>
        <v>44444444</v>
      </c>
      <c r="P19" s="67"/>
    </row>
    <row r="20" spans="1:16" ht="18.75" customHeight="1" x14ac:dyDescent="0.2">
      <c r="A20" s="61"/>
      <c r="B20" s="64"/>
      <c r="C20" s="66"/>
      <c r="D20" s="66"/>
      <c r="E20" s="66"/>
      <c r="F20" s="66"/>
      <c r="G20" s="66"/>
      <c r="H20" s="68"/>
      <c r="I20" s="74">
        <f>IF(ISNA(VLOOKUP("2A",選手リスト!$B$4:$I$103,6,FALSE)),"",VLOOKUP("2A",選手リスト!$B$4:$I$103,6,FALSE))</f>
        <v>41760</v>
      </c>
      <c r="J20" s="75" t="str">
        <f>VLOOKUP("1A",選手リスト!$B$4:$I$37,3,FALSE)</f>
        <v>福岡　太郎</v>
      </c>
      <c r="K20" s="75" t="str">
        <f>VLOOKUP("1A",選手リスト!$B$4:$I$37,3,FALSE)</f>
        <v>福岡　太郎</v>
      </c>
      <c r="L20" s="75" t="str">
        <f>VLOOKUP("1A",選手リスト!$B$4:$I$37,3,FALSE)</f>
        <v>福岡　太郎</v>
      </c>
      <c r="M20" s="76" t="str">
        <f>VLOOKUP("1A",選手リスト!$B$4:$I$37,3,FALSE)</f>
        <v>福岡　太郎</v>
      </c>
      <c r="N20" s="7" t="str">
        <f>IF(ISNA(VLOOKUP("2A",選手リスト!$B$4:$I$103,7,FALSE)),"",VLOOKUP("2A",選手リスト!$B$4:$I$103,7,FALSE))</f>
        <v>転入</v>
      </c>
      <c r="O20" s="73"/>
      <c r="P20" s="68"/>
    </row>
    <row r="21" spans="1:16" ht="18.75" customHeight="1" x14ac:dyDescent="0.2">
      <c r="A21" s="61"/>
      <c r="B21" s="64" t="s">
        <v>16</v>
      </c>
      <c r="C21" s="66" t="str">
        <f>IF(ISNA(VLOOKUP("2B",選手リスト!$B$4:$I$103,3,FALSE)),"",VLOOKUP("2B",選手リスト!$B$4:$I$103,3,FALSE))</f>
        <v>福岡　六郎</v>
      </c>
      <c r="D21" s="66"/>
      <c r="E21" s="66"/>
      <c r="F21" s="66"/>
      <c r="G21" s="66"/>
      <c r="H21" s="68">
        <f>IF(ISNA(VLOOKUP("2B",選手リスト!$B$4:$I$103,4,FALSE)),"",VLOOKUP("2B",選手リスト!$B$4:$I$103,4,FALSE))</f>
        <v>1</v>
      </c>
      <c r="I21" s="80">
        <f>IF(ISNA(VLOOKUP("2B",選手リスト!$B$4:$I$103,5,FALSE)),"",VLOOKUP("2B",選手リスト!$B$4:$I$103,5,FALSE))</f>
        <v>37317</v>
      </c>
      <c r="J21" s="81" t="str">
        <f>VLOOKUP("1A",選手リスト!$B$4:$I$37,3,FALSE)</f>
        <v>福岡　太郎</v>
      </c>
      <c r="K21" s="81" t="str">
        <f>VLOOKUP("1A",選手リスト!$B$4:$I$37,3,FALSE)</f>
        <v>福岡　太郎</v>
      </c>
      <c r="L21" s="81" t="str">
        <f>VLOOKUP("1A",選手リスト!$B$4:$I$37,3,FALSE)</f>
        <v>福岡　太郎</v>
      </c>
      <c r="M21" s="82" t="str">
        <f>VLOOKUP("1A",選手リスト!$B$4:$I$37,3,FALSE)</f>
        <v>福岡　太郎</v>
      </c>
      <c r="N21" s="8" t="s">
        <v>25</v>
      </c>
      <c r="O21" s="73" t="str">
        <f>IF(ISNA(VLOOKUP("2B",選手リスト!$B$4:$I$103,8,FALSE)),"",VLOOKUP("2B",選手リスト!$B$4:$I$103,8,FALSE))</f>
        <v>登録中</v>
      </c>
      <c r="P21" s="68"/>
    </row>
    <row r="22" spans="1:16" ht="18.75" customHeight="1" thickBot="1" x14ac:dyDescent="0.25">
      <c r="A22" s="62"/>
      <c r="B22" s="77"/>
      <c r="C22" s="78"/>
      <c r="D22" s="78"/>
      <c r="E22" s="78"/>
      <c r="F22" s="78"/>
      <c r="G22" s="78"/>
      <c r="H22" s="79"/>
      <c r="I22" s="84">
        <f>IF(ISNA(VLOOKUP("2B",選手リスト!$B$4:$I$103,6,FALSE)),"",VLOOKUP("2B",選手リスト!$B$4:$I$103,6,FALSE))</f>
        <v>42095</v>
      </c>
      <c r="J22" s="85" t="str">
        <f>VLOOKUP("1A",選手リスト!$B$4:$I$37,3,FALSE)</f>
        <v>福岡　太郎</v>
      </c>
      <c r="K22" s="85" t="str">
        <f>VLOOKUP("1A",選手リスト!$B$4:$I$37,3,FALSE)</f>
        <v>福岡　太郎</v>
      </c>
      <c r="L22" s="85" t="str">
        <f>VLOOKUP("1A",選手リスト!$B$4:$I$37,3,FALSE)</f>
        <v>福岡　太郎</v>
      </c>
      <c r="M22" s="86" t="str">
        <f>VLOOKUP("1A",選手リスト!$B$4:$I$37,3,FALSE)</f>
        <v>福岡　太郎</v>
      </c>
      <c r="N22" s="7" t="str">
        <f>IF(ISNA(VLOOKUP("2B",選手リスト!$B$4:$I$103,7,FALSE)),"",VLOOKUP("2B",選手リスト!$B$4:$I$103,7,FALSE))</f>
        <v>入学</v>
      </c>
      <c r="O22" s="83"/>
      <c r="P22" s="79"/>
    </row>
    <row r="23" spans="1:16" ht="18.75" customHeight="1" x14ac:dyDescent="0.2">
      <c r="A23" s="60">
        <v>3</v>
      </c>
      <c r="B23" s="63" t="s">
        <v>15</v>
      </c>
      <c r="C23" s="65" t="str">
        <f>IF(ISNA(VLOOKUP("3A",選手リスト!$B$4:$I$103,3,FALSE)),"",VLOOKUP("3A",選手リスト!$B$4:$I$103,3,FALSE))</f>
        <v/>
      </c>
      <c r="D23" s="65"/>
      <c r="E23" s="65"/>
      <c r="F23" s="65"/>
      <c r="G23" s="65"/>
      <c r="H23" s="67" t="str">
        <f>IF(ISNA(VLOOKUP("3A",選手リスト!$B$4:$I$103,4,FALSE)),"",VLOOKUP("3A",選手リスト!$B$4:$I$103,4,FALSE))</f>
        <v/>
      </c>
      <c r="I23" s="69" t="str">
        <f>IF(ISNA(VLOOKUP("3A",選手リスト!$B$4:$I$103,5,FALSE)),"",VLOOKUP("3A",選手リスト!$B$4:$I$103,5,FALSE))</f>
        <v/>
      </c>
      <c r="J23" s="70" t="str">
        <f>VLOOKUP("1A",選手リスト!$B$4:$I$37,3,FALSE)</f>
        <v>福岡　太郎</v>
      </c>
      <c r="K23" s="70" t="str">
        <f>VLOOKUP("1A",選手リスト!$B$4:$I$37,3,FALSE)</f>
        <v>福岡　太郎</v>
      </c>
      <c r="L23" s="70" t="str">
        <f>VLOOKUP("1A",選手リスト!$B$4:$I$37,3,FALSE)</f>
        <v>福岡　太郎</v>
      </c>
      <c r="M23" s="71" t="str">
        <f>VLOOKUP("1A",選手リスト!$B$4:$I$37,3,FALSE)</f>
        <v>福岡　太郎</v>
      </c>
      <c r="N23" s="6" t="s">
        <v>17</v>
      </c>
      <c r="O23" s="72" t="str">
        <f>IF(ISNA(VLOOKUP("3A",選手リスト!$B$4:$I$103,8,FALSE)),"",VLOOKUP("3A",選手リスト!$B$4:$I$103,8,FALSE))</f>
        <v/>
      </c>
      <c r="P23" s="67"/>
    </row>
    <row r="24" spans="1:16" ht="18.75" customHeight="1" x14ac:dyDescent="0.2">
      <c r="A24" s="61"/>
      <c r="B24" s="64"/>
      <c r="C24" s="66"/>
      <c r="D24" s="66"/>
      <c r="E24" s="66"/>
      <c r="F24" s="66"/>
      <c r="G24" s="66"/>
      <c r="H24" s="68"/>
      <c r="I24" s="74" t="str">
        <f>IF(ISNA(VLOOKUP("3A",選手リスト!$B$4:$I$103,6,FALSE)),"",VLOOKUP("3A",選手リスト!$B$4:$I$103,6,FALSE))</f>
        <v/>
      </c>
      <c r="J24" s="75" t="str">
        <f>VLOOKUP("1A",選手リスト!$B$4:$I$37,3,FALSE)</f>
        <v>福岡　太郎</v>
      </c>
      <c r="K24" s="75" t="str">
        <f>VLOOKUP("1A",選手リスト!$B$4:$I$37,3,FALSE)</f>
        <v>福岡　太郎</v>
      </c>
      <c r="L24" s="75" t="str">
        <f>VLOOKUP("1A",選手リスト!$B$4:$I$37,3,FALSE)</f>
        <v>福岡　太郎</v>
      </c>
      <c r="M24" s="76" t="str">
        <f>VLOOKUP("1A",選手リスト!$B$4:$I$37,3,FALSE)</f>
        <v>福岡　太郎</v>
      </c>
      <c r="N24" s="7" t="str">
        <f>IF(ISNA(VLOOKUP("3A",選手リスト!$B$4:$I$103,7,FALSE)),"",VLOOKUP("3A",選手リスト!$B$4:$I$103,7,FALSE))</f>
        <v/>
      </c>
      <c r="O24" s="73"/>
      <c r="P24" s="68"/>
    </row>
    <row r="25" spans="1:16" ht="18.75" customHeight="1" x14ac:dyDescent="0.2">
      <c r="A25" s="61"/>
      <c r="B25" s="64" t="s">
        <v>16</v>
      </c>
      <c r="C25" s="66" t="str">
        <f>IF(ISNA(VLOOKUP("3B",選手リスト!$B$4:$I$103,3,FALSE)),"",VLOOKUP("3B",選手リスト!$B$4:$I$103,3,FALSE))</f>
        <v/>
      </c>
      <c r="D25" s="66"/>
      <c r="E25" s="66"/>
      <c r="F25" s="66"/>
      <c r="G25" s="66"/>
      <c r="H25" s="68" t="str">
        <f>IF(ISNA(VLOOKUP("3B",選手リスト!$B$4:$I$103,4,FALSE)),"",VLOOKUP("3B",選手リスト!$B$4:$I$103,4,FALSE))</f>
        <v/>
      </c>
      <c r="I25" s="80" t="str">
        <f>IF(ISNA(VLOOKUP("3B",選手リスト!$B$4:$I$103,5,FALSE)),"",VLOOKUP("3B",選手リスト!$B$4:$I$103,5,FALSE))</f>
        <v/>
      </c>
      <c r="J25" s="81" t="str">
        <f>VLOOKUP("1A",選手リスト!$B$4:$I$37,3,FALSE)</f>
        <v>福岡　太郎</v>
      </c>
      <c r="K25" s="81" t="str">
        <f>VLOOKUP("1A",選手リスト!$B$4:$I$37,3,FALSE)</f>
        <v>福岡　太郎</v>
      </c>
      <c r="L25" s="81" t="str">
        <f>VLOOKUP("1A",選手リスト!$B$4:$I$37,3,FALSE)</f>
        <v>福岡　太郎</v>
      </c>
      <c r="M25" s="82" t="str">
        <f>VLOOKUP("1A",選手リスト!$B$4:$I$37,3,FALSE)</f>
        <v>福岡　太郎</v>
      </c>
      <c r="N25" s="8" t="s">
        <v>25</v>
      </c>
      <c r="O25" s="73" t="str">
        <f>IF(ISNA(VLOOKUP("3B",選手リスト!$B$4:$I$103,8,FALSE)),"",VLOOKUP("3B",選手リスト!$B$4:$I$103,8,FALSE))</f>
        <v/>
      </c>
      <c r="P25" s="68"/>
    </row>
    <row r="26" spans="1:16" ht="18.75" customHeight="1" thickBot="1" x14ac:dyDescent="0.25">
      <c r="A26" s="62"/>
      <c r="B26" s="77"/>
      <c r="C26" s="78"/>
      <c r="D26" s="78"/>
      <c r="E26" s="78"/>
      <c r="F26" s="78"/>
      <c r="G26" s="78"/>
      <c r="H26" s="79"/>
      <c r="I26" s="84" t="str">
        <f>IF(ISNA(VLOOKUP("3B",選手リスト!$B$4:$I$103,6,FALSE)),"",VLOOKUP("3B",選手リスト!$B$4:$I$103,6,FALSE))</f>
        <v/>
      </c>
      <c r="J26" s="85" t="str">
        <f>VLOOKUP("1A",選手リスト!$B$4:$I$37,3,FALSE)</f>
        <v>福岡　太郎</v>
      </c>
      <c r="K26" s="85" t="str">
        <f>VLOOKUP("1A",選手リスト!$B$4:$I$37,3,FALSE)</f>
        <v>福岡　太郎</v>
      </c>
      <c r="L26" s="85" t="str">
        <f>VLOOKUP("1A",選手リスト!$B$4:$I$37,3,FALSE)</f>
        <v>福岡　太郎</v>
      </c>
      <c r="M26" s="86" t="str">
        <f>VLOOKUP("1A",選手リスト!$B$4:$I$37,3,FALSE)</f>
        <v>福岡　太郎</v>
      </c>
      <c r="N26" s="7" t="str">
        <f>IF(ISNA(VLOOKUP("3B",選手リスト!$B$4:$I$103,7,FALSE)),"",VLOOKUP("3B",選手リスト!$B$4:$I$103,7,FALSE))</f>
        <v/>
      </c>
      <c r="O26" s="83"/>
      <c r="P26" s="79"/>
    </row>
    <row r="27" spans="1:16" ht="18.75" customHeight="1" x14ac:dyDescent="0.2">
      <c r="A27" s="60">
        <v>4</v>
      </c>
      <c r="B27" s="63" t="s">
        <v>15</v>
      </c>
      <c r="C27" s="65" t="str">
        <f>IF(ISNA(VLOOKUP("4A",選手リスト!$B$4:$I$103,3,FALSE)),"",VLOOKUP("4A",選手リスト!$B$4:$I$103,3,FALSE))</f>
        <v/>
      </c>
      <c r="D27" s="65"/>
      <c r="E27" s="65"/>
      <c r="F27" s="65"/>
      <c r="G27" s="65"/>
      <c r="H27" s="67" t="str">
        <f>IF(ISNA(VLOOKUP("4A",選手リスト!$B$4:$I$103,4,FALSE)),"",VLOOKUP("4A",選手リスト!$B$4:$I$103,4,FALSE))</f>
        <v/>
      </c>
      <c r="I27" s="69" t="str">
        <f>IF(ISNA(VLOOKUP("4A",選手リスト!$B$4:$I$103,5,FALSE)),"",VLOOKUP("4A",選手リスト!$B$4:$I$103,5,FALSE))</f>
        <v/>
      </c>
      <c r="J27" s="70" t="str">
        <f>VLOOKUP("1A",選手リスト!$B$4:$I$37,3,FALSE)</f>
        <v>福岡　太郎</v>
      </c>
      <c r="K27" s="70" t="str">
        <f>VLOOKUP("1A",選手リスト!$B$4:$I$37,3,FALSE)</f>
        <v>福岡　太郎</v>
      </c>
      <c r="L27" s="70" t="str">
        <f>VLOOKUP("1A",選手リスト!$B$4:$I$37,3,FALSE)</f>
        <v>福岡　太郎</v>
      </c>
      <c r="M27" s="71" t="str">
        <f>VLOOKUP("1A",選手リスト!$B$4:$I$37,3,FALSE)</f>
        <v>福岡　太郎</v>
      </c>
      <c r="N27" s="6" t="s">
        <v>17</v>
      </c>
      <c r="O27" s="72" t="str">
        <f>IF(ISNA(VLOOKUP("4A",選手リスト!$B$4:$I$103,8,FALSE)),"",VLOOKUP("4A",選手リスト!$B$4:$I$103,8,FALSE))</f>
        <v/>
      </c>
      <c r="P27" s="67"/>
    </row>
    <row r="28" spans="1:16" ht="18.75" customHeight="1" x14ac:dyDescent="0.2">
      <c r="A28" s="61"/>
      <c r="B28" s="64"/>
      <c r="C28" s="66"/>
      <c r="D28" s="66"/>
      <c r="E28" s="66"/>
      <c r="F28" s="66"/>
      <c r="G28" s="66"/>
      <c r="H28" s="68"/>
      <c r="I28" s="74" t="str">
        <f>IF(ISNA(VLOOKUP("4A",選手リスト!$B$4:$I$103,6,FALSE)),"",VLOOKUP("4A",選手リスト!$B$4:$I$103,6,FALSE))</f>
        <v/>
      </c>
      <c r="J28" s="75" t="str">
        <f>VLOOKUP("1A",選手リスト!$B$4:$I$37,3,FALSE)</f>
        <v>福岡　太郎</v>
      </c>
      <c r="K28" s="75" t="str">
        <f>VLOOKUP("1A",選手リスト!$B$4:$I$37,3,FALSE)</f>
        <v>福岡　太郎</v>
      </c>
      <c r="L28" s="75" t="str">
        <f>VLOOKUP("1A",選手リスト!$B$4:$I$37,3,FALSE)</f>
        <v>福岡　太郎</v>
      </c>
      <c r="M28" s="76" t="str">
        <f>VLOOKUP("1A",選手リスト!$B$4:$I$37,3,FALSE)</f>
        <v>福岡　太郎</v>
      </c>
      <c r="N28" s="7" t="str">
        <f>IF(ISNA(VLOOKUP("4A",選手リスト!$B$4:$I$103,7,FALSE)),"",VLOOKUP("4A",選手リスト!$B$4:$I$103,7,FALSE))</f>
        <v/>
      </c>
      <c r="O28" s="73"/>
      <c r="P28" s="68"/>
    </row>
    <row r="29" spans="1:16" ht="18.75" customHeight="1" x14ac:dyDescent="0.2">
      <c r="A29" s="61"/>
      <c r="B29" s="64" t="s">
        <v>16</v>
      </c>
      <c r="C29" s="66" t="str">
        <f>IF(ISNA(VLOOKUP("4B",選手リスト!$B$4:$I$103,3,FALSE)),"",VLOOKUP("4B",選手リスト!$B$4:$I$103,3,FALSE))</f>
        <v/>
      </c>
      <c r="D29" s="66"/>
      <c r="E29" s="66"/>
      <c r="F29" s="66"/>
      <c r="G29" s="66"/>
      <c r="H29" s="68" t="str">
        <f>IF(ISNA(VLOOKUP("4B",選手リスト!$B$4:$I$103,4,FALSE)),"",VLOOKUP("4B",選手リスト!$B$4:$I$103,4,FALSE))</f>
        <v/>
      </c>
      <c r="I29" s="80" t="str">
        <f>IF(ISNA(VLOOKUP("4B",選手リスト!$B$4:$I$103,5,FALSE)),"",VLOOKUP("4B",選手リスト!$B$4:$I$103,5,FALSE))</f>
        <v/>
      </c>
      <c r="J29" s="81" t="str">
        <f>VLOOKUP("1A",選手リスト!$B$4:$I$37,3,FALSE)</f>
        <v>福岡　太郎</v>
      </c>
      <c r="K29" s="81" t="str">
        <f>VLOOKUP("1A",選手リスト!$B$4:$I$37,3,FALSE)</f>
        <v>福岡　太郎</v>
      </c>
      <c r="L29" s="81" t="str">
        <f>VLOOKUP("1A",選手リスト!$B$4:$I$37,3,FALSE)</f>
        <v>福岡　太郎</v>
      </c>
      <c r="M29" s="82" t="str">
        <f>VLOOKUP("1A",選手リスト!$B$4:$I$37,3,FALSE)</f>
        <v>福岡　太郎</v>
      </c>
      <c r="N29" s="8" t="s">
        <v>25</v>
      </c>
      <c r="O29" s="73" t="str">
        <f>IF(ISNA(VLOOKUP("4B",選手リスト!$B$4:$I$103,8,FALSE)),"",VLOOKUP("4B",選手リスト!$B$4:$I$103,8,FALSE))</f>
        <v/>
      </c>
      <c r="P29" s="68"/>
    </row>
    <row r="30" spans="1:16" ht="18.75" customHeight="1" thickBot="1" x14ac:dyDescent="0.25">
      <c r="A30" s="62"/>
      <c r="B30" s="77"/>
      <c r="C30" s="78"/>
      <c r="D30" s="78"/>
      <c r="E30" s="78"/>
      <c r="F30" s="78"/>
      <c r="G30" s="78"/>
      <c r="H30" s="79"/>
      <c r="I30" s="84" t="str">
        <f>IF(ISNA(VLOOKUP("4B",選手リスト!$B$4:$I$103,6,FALSE)),"",VLOOKUP("4B",選手リスト!$B$4:$I$103,6,FALSE))</f>
        <v/>
      </c>
      <c r="J30" s="85" t="str">
        <f>VLOOKUP("1A",選手リスト!$B$4:$I$37,3,FALSE)</f>
        <v>福岡　太郎</v>
      </c>
      <c r="K30" s="85" t="str">
        <f>VLOOKUP("1A",選手リスト!$B$4:$I$37,3,FALSE)</f>
        <v>福岡　太郎</v>
      </c>
      <c r="L30" s="85" t="str">
        <f>VLOOKUP("1A",選手リスト!$B$4:$I$37,3,FALSE)</f>
        <v>福岡　太郎</v>
      </c>
      <c r="M30" s="86" t="str">
        <f>VLOOKUP("1A",選手リスト!$B$4:$I$37,3,FALSE)</f>
        <v>福岡　太郎</v>
      </c>
      <c r="N30" s="7" t="str">
        <f>IF(ISNA(VLOOKUP("4B",選手リスト!$B$4:$I$103,7,FALSE)),"",VLOOKUP("4B",選手リスト!$B$4:$I$103,7,FALSE))</f>
        <v/>
      </c>
      <c r="O30" s="83"/>
      <c r="P30" s="79"/>
    </row>
    <row r="31" spans="1:16" ht="18.75" customHeight="1" x14ac:dyDescent="0.2">
      <c r="A31" s="60">
        <v>5</v>
      </c>
      <c r="B31" s="63" t="s">
        <v>15</v>
      </c>
      <c r="C31" s="65" t="str">
        <f>IF(ISNA(VLOOKUP("5A",選手リスト!$B$4:$I$103,3,FALSE)),"",VLOOKUP("5A",選手リスト!$B$4:$I$103,3,FALSE))</f>
        <v/>
      </c>
      <c r="D31" s="65"/>
      <c r="E31" s="65"/>
      <c r="F31" s="65"/>
      <c r="G31" s="65"/>
      <c r="H31" s="67" t="str">
        <f>IF(ISNA(VLOOKUP("5A",選手リスト!$B$4:$I$103,4,FALSE)),"",VLOOKUP("5A",選手リスト!$B$4:$I$103,4,FALSE))</f>
        <v/>
      </c>
      <c r="I31" s="69" t="str">
        <f>IF(ISNA(VLOOKUP("5A",選手リスト!$B$4:$I$103,5,FALSE)),"",VLOOKUP("5A",選手リスト!$B$4:$I$103,5,FALSE))</f>
        <v/>
      </c>
      <c r="J31" s="70" t="str">
        <f>VLOOKUP("1A",選手リスト!$B$4:$I$37,3,FALSE)</f>
        <v>福岡　太郎</v>
      </c>
      <c r="K31" s="70" t="str">
        <f>VLOOKUP("1A",選手リスト!$B$4:$I$37,3,FALSE)</f>
        <v>福岡　太郎</v>
      </c>
      <c r="L31" s="70" t="str">
        <f>VLOOKUP("1A",選手リスト!$B$4:$I$37,3,FALSE)</f>
        <v>福岡　太郎</v>
      </c>
      <c r="M31" s="71" t="str">
        <f>VLOOKUP("1A",選手リスト!$B$4:$I$37,3,FALSE)</f>
        <v>福岡　太郎</v>
      </c>
      <c r="N31" s="6" t="s">
        <v>17</v>
      </c>
      <c r="O31" s="72" t="str">
        <f>IF(ISNA(VLOOKUP("5A",選手リスト!$B$4:$I$103,8,FALSE)),"",VLOOKUP("5A",選手リスト!$B$4:$I$103,8,FALSE))</f>
        <v/>
      </c>
      <c r="P31" s="67"/>
    </row>
    <row r="32" spans="1:16" ht="18.75" customHeight="1" x14ac:dyDescent="0.2">
      <c r="A32" s="61"/>
      <c r="B32" s="64"/>
      <c r="C32" s="66"/>
      <c r="D32" s="66"/>
      <c r="E32" s="66"/>
      <c r="F32" s="66"/>
      <c r="G32" s="66"/>
      <c r="H32" s="68"/>
      <c r="I32" s="74" t="str">
        <f>IF(ISNA(VLOOKUP("5A",選手リスト!$B$4:$I$103,6,FALSE)),"",VLOOKUP("5A",選手リスト!$B$4:$I$103,6,FALSE))</f>
        <v/>
      </c>
      <c r="J32" s="75" t="str">
        <f>VLOOKUP("1A",選手リスト!$B$4:$I$37,3,FALSE)</f>
        <v>福岡　太郎</v>
      </c>
      <c r="K32" s="75" t="str">
        <f>VLOOKUP("1A",選手リスト!$B$4:$I$37,3,FALSE)</f>
        <v>福岡　太郎</v>
      </c>
      <c r="L32" s="75" t="str">
        <f>VLOOKUP("1A",選手リスト!$B$4:$I$37,3,FALSE)</f>
        <v>福岡　太郎</v>
      </c>
      <c r="M32" s="76" t="str">
        <f>VLOOKUP("1A",選手リスト!$B$4:$I$37,3,FALSE)</f>
        <v>福岡　太郎</v>
      </c>
      <c r="N32" s="7" t="str">
        <f>IF(ISNA(VLOOKUP("5A",選手リスト!$B$4:$I$103,7,FALSE)),"",VLOOKUP("5A",選手リスト!$B$4:$I$103,7,FALSE))</f>
        <v/>
      </c>
      <c r="O32" s="73"/>
      <c r="P32" s="68"/>
    </row>
    <row r="33" spans="1:16" ht="18.75" customHeight="1" x14ac:dyDescent="0.2">
      <c r="A33" s="61"/>
      <c r="B33" s="64" t="s">
        <v>16</v>
      </c>
      <c r="C33" s="66" t="str">
        <f>IF(ISNA(VLOOKUP("5B",選手リスト!$B$4:$I$103,3,FALSE)),"",VLOOKUP("5B",選手リスト!$B$4:$I$103,3,FALSE))</f>
        <v/>
      </c>
      <c r="D33" s="66"/>
      <c r="E33" s="66"/>
      <c r="F33" s="66"/>
      <c r="G33" s="66"/>
      <c r="H33" s="68" t="str">
        <f>IF(ISNA(VLOOKUP("5B",選手リスト!$B$4:$I$103,4,FALSE)),"",VLOOKUP("5B",選手リスト!$B$4:$I$103,4,FALSE))</f>
        <v/>
      </c>
      <c r="I33" s="80" t="str">
        <f>IF(ISNA(VLOOKUP("5B",選手リスト!$B$4:$I$103,5,FALSE)),"",VLOOKUP("5B",選手リスト!$B$4:$I$103,5,FALSE))</f>
        <v/>
      </c>
      <c r="J33" s="81" t="str">
        <f>VLOOKUP("1A",選手リスト!$B$4:$I$37,3,FALSE)</f>
        <v>福岡　太郎</v>
      </c>
      <c r="K33" s="81" t="str">
        <f>VLOOKUP("1A",選手リスト!$B$4:$I$37,3,FALSE)</f>
        <v>福岡　太郎</v>
      </c>
      <c r="L33" s="81" t="str">
        <f>VLOOKUP("1A",選手リスト!$B$4:$I$37,3,FALSE)</f>
        <v>福岡　太郎</v>
      </c>
      <c r="M33" s="82" t="str">
        <f>VLOOKUP("1A",選手リスト!$B$4:$I$37,3,FALSE)</f>
        <v>福岡　太郎</v>
      </c>
      <c r="N33" s="8" t="s">
        <v>25</v>
      </c>
      <c r="O33" s="73" t="str">
        <f>IF(ISNA(VLOOKUP("5B",選手リスト!$B$4:$I$103,8,FALSE)),"",VLOOKUP("5B",選手リスト!$B$4:$I$103,8,FALSE))</f>
        <v/>
      </c>
      <c r="P33" s="68"/>
    </row>
    <row r="34" spans="1:16" ht="18.75" customHeight="1" thickBot="1" x14ac:dyDescent="0.25">
      <c r="A34" s="62"/>
      <c r="B34" s="77"/>
      <c r="C34" s="78"/>
      <c r="D34" s="78"/>
      <c r="E34" s="78"/>
      <c r="F34" s="78"/>
      <c r="G34" s="78"/>
      <c r="H34" s="79"/>
      <c r="I34" s="84" t="str">
        <f>IF(ISNA(VLOOKUP("5B",選手リスト!$B$4:$I$103,6,FALSE)),"",VLOOKUP("5B",選手リスト!$B$4:$I$103,6,FALSE))</f>
        <v/>
      </c>
      <c r="J34" s="85" t="str">
        <f>VLOOKUP("1A",選手リスト!$B$4:$I$37,3,FALSE)</f>
        <v>福岡　太郎</v>
      </c>
      <c r="K34" s="85" t="str">
        <f>VLOOKUP("1A",選手リスト!$B$4:$I$37,3,FALSE)</f>
        <v>福岡　太郎</v>
      </c>
      <c r="L34" s="85" t="str">
        <f>VLOOKUP("1A",選手リスト!$B$4:$I$37,3,FALSE)</f>
        <v>福岡　太郎</v>
      </c>
      <c r="M34" s="86" t="str">
        <f>VLOOKUP("1A",選手リスト!$B$4:$I$37,3,FALSE)</f>
        <v>福岡　太郎</v>
      </c>
      <c r="N34" s="7" t="str">
        <f>IF(ISNA(VLOOKUP("5B",選手リスト!$B$4:$I$103,7,FALSE)),"",VLOOKUP("5B",選手リスト!$B$4:$I$103,7,FALSE))</f>
        <v/>
      </c>
      <c r="O34" s="83"/>
      <c r="P34" s="79"/>
    </row>
    <row r="35" spans="1:16" ht="18.75" customHeight="1" x14ac:dyDescent="0.2">
      <c r="A35" s="60">
        <v>6</v>
      </c>
      <c r="B35" s="63" t="s">
        <v>15</v>
      </c>
      <c r="C35" s="65" t="str">
        <f>IF(ISNA(VLOOKUP("6A",選手リスト!$B$4:$I$103,3,FALSE)),"",VLOOKUP("6A",選手リスト!$B$4:$I$103,3,FALSE))</f>
        <v/>
      </c>
      <c r="D35" s="65"/>
      <c r="E35" s="65"/>
      <c r="F35" s="65"/>
      <c r="G35" s="65"/>
      <c r="H35" s="67" t="str">
        <f>IF(ISNA(VLOOKUP("6A",選手リスト!$B$4:$I$103,4,FALSE)),"",VLOOKUP("6A",選手リスト!$B$4:$I$103,4,FALSE))</f>
        <v/>
      </c>
      <c r="I35" s="69" t="str">
        <f>IF(ISNA(VLOOKUP("6A",選手リスト!$B$4:$I$103,5,FALSE)),"",VLOOKUP("6A",選手リスト!$B$4:$I$103,5,FALSE))</f>
        <v/>
      </c>
      <c r="J35" s="70" t="str">
        <f>VLOOKUP("1A",選手リスト!$B$4:$I$37,3,FALSE)</f>
        <v>福岡　太郎</v>
      </c>
      <c r="K35" s="70" t="str">
        <f>VLOOKUP("1A",選手リスト!$B$4:$I$37,3,FALSE)</f>
        <v>福岡　太郎</v>
      </c>
      <c r="L35" s="70" t="str">
        <f>VLOOKUP("1A",選手リスト!$B$4:$I$37,3,FALSE)</f>
        <v>福岡　太郎</v>
      </c>
      <c r="M35" s="71" t="str">
        <f>VLOOKUP("1A",選手リスト!$B$4:$I$37,3,FALSE)</f>
        <v>福岡　太郎</v>
      </c>
      <c r="N35" s="6" t="s">
        <v>17</v>
      </c>
      <c r="O35" s="72" t="str">
        <f>IF(ISNA(VLOOKUP("6A",選手リスト!$B$4:$I$103,8,FALSE)),"",VLOOKUP("6A",選手リスト!$B$4:$I$103,8,FALSE))</f>
        <v/>
      </c>
      <c r="P35" s="67"/>
    </row>
    <row r="36" spans="1:16" ht="18.75" customHeight="1" x14ac:dyDescent="0.2">
      <c r="A36" s="61"/>
      <c r="B36" s="64"/>
      <c r="C36" s="66"/>
      <c r="D36" s="66"/>
      <c r="E36" s="66"/>
      <c r="F36" s="66"/>
      <c r="G36" s="66"/>
      <c r="H36" s="68"/>
      <c r="I36" s="74" t="str">
        <f>IF(ISNA(VLOOKUP("6A",選手リスト!$B$4:$I$103,6,FALSE)),"",VLOOKUP("6A",選手リスト!$B$4:$I$103,6,FALSE))</f>
        <v/>
      </c>
      <c r="J36" s="75" t="str">
        <f>VLOOKUP("1A",選手リスト!$B$4:$I$37,3,FALSE)</f>
        <v>福岡　太郎</v>
      </c>
      <c r="K36" s="75" t="str">
        <f>VLOOKUP("1A",選手リスト!$B$4:$I$37,3,FALSE)</f>
        <v>福岡　太郎</v>
      </c>
      <c r="L36" s="75" t="str">
        <f>VLOOKUP("1A",選手リスト!$B$4:$I$37,3,FALSE)</f>
        <v>福岡　太郎</v>
      </c>
      <c r="M36" s="76" t="str">
        <f>VLOOKUP("1A",選手リスト!$B$4:$I$37,3,FALSE)</f>
        <v>福岡　太郎</v>
      </c>
      <c r="N36" s="7" t="str">
        <f>IF(ISNA(VLOOKUP("6A",選手リスト!$B$4:$I$103,7,FALSE)),"",VLOOKUP("6A",選手リスト!$B$4:$I$103,7,FALSE))</f>
        <v/>
      </c>
      <c r="O36" s="73"/>
      <c r="P36" s="68"/>
    </row>
    <row r="37" spans="1:16" ht="18.75" customHeight="1" x14ac:dyDescent="0.2">
      <c r="A37" s="61"/>
      <c r="B37" s="64" t="s">
        <v>16</v>
      </c>
      <c r="C37" s="66" t="str">
        <f>IF(ISNA(VLOOKUP("6B",選手リスト!$B$4:$I$103,3,FALSE)),"",VLOOKUP("6B",選手リスト!$B$4:$I$103,3,FALSE))</f>
        <v/>
      </c>
      <c r="D37" s="66"/>
      <c r="E37" s="66"/>
      <c r="F37" s="66"/>
      <c r="G37" s="66"/>
      <c r="H37" s="68" t="str">
        <f>IF(ISNA(VLOOKUP("6B",選手リスト!$B$4:$I$103,4,FALSE)),"",VLOOKUP("6B",選手リスト!$B$4:$I$103,4,FALSE))</f>
        <v/>
      </c>
      <c r="I37" s="80" t="str">
        <f>IF(ISNA(VLOOKUP("6B",選手リスト!$B$4:$I$103,5,FALSE)),"",VLOOKUP("6B",選手リスト!$B$4:$I$103,5,FALSE))</f>
        <v/>
      </c>
      <c r="J37" s="81" t="str">
        <f>VLOOKUP("1A",選手リスト!$B$4:$I$37,3,FALSE)</f>
        <v>福岡　太郎</v>
      </c>
      <c r="K37" s="81" t="str">
        <f>VLOOKUP("1A",選手リスト!$B$4:$I$37,3,FALSE)</f>
        <v>福岡　太郎</v>
      </c>
      <c r="L37" s="81" t="str">
        <f>VLOOKUP("1A",選手リスト!$B$4:$I$37,3,FALSE)</f>
        <v>福岡　太郎</v>
      </c>
      <c r="M37" s="82" t="str">
        <f>VLOOKUP("1A",選手リスト!$B$4:$I$37,3,FALSE)</f>
        <v>福岡　太郎</v>
      </c>
      <c r="N37" s="8" t="s">
        <v>25</v>
      </c>
      <c r="O37" s="73" t="str">
        <f>IF(ISNA(VLOOKUP("6B",選手リスト!$B$4:$I$103,8,FALSE)),"",VLOOKUP("6B",選手リスト!$B$4:$I$103,8,FALSE))</f>
        <v/>
      </c>
      <c r="P37" s="68"/>
    </row>
    <row r="38" spans="1:16" ht="18.75" customHeight="1" thickBot="1" x14ac:dyDescent="0.25">
      <c r="A38" s="62"/>
      <c r="B38" s="77"/>
      <c r="C38" s="78"/>
      <c r="D38" s="78"/>
      <c r="E38" s="78"/>
      <c r="F38" s="78"/>
      <c r="G38" s="78"/>
      <c r="H38" s="79"/>
      <c r="I38" s="84" t="str">
        <f>IF(ISNA(VLOOKUP("6B",選手リスト!$B$4:$I$103,6,FALSE)),"",VLOOKUP("6B",選手リスト!$B$4:$I$103,6,FALSE))</f>
        <v/>
      </c>
      <c r="J38" s="85" t="str">
        <f>VLOOKUP("1A",選手リスト!$B$4:$I$37,3,FALSE)</f>
        <v>福岡　太郎</v>
      </c>
      <c r="K38" s="85" t="str">
        <f>VLOOKUP("1A",選手リスト!$B$4:$I$37,3,FALSE)</f>
        <v>福岡　太郎</v>
      </c>
      <c r="L38" s="85" t="str">
        <f>VLOOKUP("1A",選手リスト!$B$4:$I$37,3,FALSE)</f>
        <v>福岡　太郎</v>
      </c>
      <c r="M38" s="86" t="str">
        <f>VLOOKUP("1A",選手リスト!$B$4:$I$37,3,FALSE)</f>
        <v>福岡　太郎</v>
      </c>
      <c r="N38" s="9" t="str">
        <f>IF(ISNA(VLOOKUP("6B",選手リスト!$B$4:$I$103,7,FALSE)),"",VLOOKUP("6B",選手リスト!$B$4:$I$103,7,FALSE))</f>
        <v/>
      </c>
      <c r="O38" s="83"/>
      <c r="P38" s="79"/>
    </row>
    <row r="39" spans="1:16" ht="18.75" customHeight="1" x14ac:dyDescent="0.2">
      <c r="A39" s="60">
        <v>7</v>
      </c>
      <c r="B39" s="63" t="s">
        <v>15</v>
      </c>
      <c r="C39" s="65" t="str">
        <f>IF(ISNA(VLOOKUP("7A",選手リスト!$B$4:$I$103,3,FALSE)),"",VLOOKUP("7A",選手リスト!$B$4:$I$103,3,FALSE))</f>
        <v/>
      </c>
      <c r="D39" s="65"/>
      <c r="E39" s="65"/>
      <c r="F39" s="65"/>
      <c r="G39" s="65"/>
      <c r="H39" s="67" t="str">
        <f>IF(ISNA(VLOOKUP("7A",選手リスト!$B$4:$I$103,4,FALSE)),"",VLOOKUP("7A",選手リスト!$B$4:$I$103,4,FALSE))</f>
        <v/>
      </c>
      <c r="I39" s="69" t="str">
        <f>IF(ISNA(VLOOKUP("7A",選手リスト!$B$4:$I$103,5,FALSE)),"",VLOOKUP("7A",選手リスト!$B$4:$I$103,5,FALSE))</f>
        <v/>
      </c>
      <c r="J39" s="70" t="str">
        <f>VLOOKUP("1A",選手リスト!$B$4:$I$37,3,FALSE)</f>
        <v>福岡　太郎</v>
      </c>
      <c r="K39" s="70" t="str">
        <f>VLOOKUP("1A",選手リスト!$B$4:$I$37,3,FALSE)</f>
        <v>福岡　太郎</v>
      </c>
      <c r="L39" s="70" t="str">
        <f>VLOOKUP("1A",選手リスト!$B$4:$I$37,3,FALSE)</f>
        <v>福岡　太郎</v>
      </c>
      <c r="M39" s="71" t="str">
        <f>VLOOKUP("1A",選手リスト!$B$4:$I$37,3,FALSE)</f>
        <v>福岡　太郎</v>
      </c>
      <c r="N39" s="6" t="s">
        <v>17</v>
      </c>
      <c r="O39" s="72" t="str">
        <f>IF(ISNA(VLOOKUP("7A",選手リスト!$B$4:$I$103,8,FALSE)),"",VLOOKUP("7A",選手リスト!$B$4:$I$103,8,FALSE))</f>
        <v/>
      </c>
      <c r="P39" s="67"/>
    </row>
    <row r="40" spans="1:16" ht="18.75" customHeight="1" x14ac:dyDescent="0.2">
      <c r="A40" s="61"/>
      <c r="B40" s="64"/>
      <c r="C40" s="66"/>
      <c r="D40" s="66"/>
      <c r="E40" s="66"/>
      <c r="F40" s="66"/>
      <c r="G40" s="66"/>
      <c r="H40" s="68"/>
      <c r="I40" s="74" t="str">
        <f>IF(ISNA(VLOOKUP("7A",選手リスト!$B$4:$I$103,6,FALSE)),"",VLOOKUP("7A",選手リスト!$B$4:$I$103,6,FALSE))</f>
        <v/>
      </c>
      <c r="J40" s="75" t="str">
        <f>VLOOKUP("1A",選手リスト!$B$4:$I$37,3,FALSE)</f>
        <v>福岡　太郎</v>
      </c>
      <c r="K40" s="75" t="str">
        <f>VLOOKUP("1A",選手リスト!$B$4:$I$37,3,FALSE)</f>
        <v>福岡　太郎</v>
      </c>
      <c r="L40" s="75" t="str">
        <f>VLOOKUP("1A",選手リスト!$B$4:$I$37,3,FALSE)</f>
        <v>福岡　太郎</v>
      </c>
      <c r="M40" s="76" t="str">
        <f>VLOOKUP("1A",選手リスト!$B$4:$I$37,3,FALSE)</f>
        <v>福岡　太郎</v>
      </c>
      <c r="N40" s="7" t="str">
        <f>IF(ISNA(VLOOKUP("7A",選手リスト!$B$4:$I$103,7,FALSE)),"",VLOOKUP("7A",選手リスト!$B$4:$I$103,7,FALSE))</f>
        <v/>
      </c>
      <c r="O40" s="73"/>
      <c r="P40" s="68"/>
    </row>
    <row r="41" spans="1:16" ht="18.75" customHeight="1" x14ac:dyDescent="0.2">
      <c r="A41" s="61"/>
      <c r="B41" s="64" t="s">
        <v>16</v>
      </c>
      <c r="C41" s="66" t="str">
        <f>IF(ISNA(VLOOKUP("7B",選手リスト!$B$4:$I$103,3,FALSE)),"",VLOOKUP("7B",選手リスト!$B$4:$I$103,3,FALSE))</f>
        <v>福岡　七郎</v>
      </c>
      <c r="D41" s="66"/>
      <c r="E41" s="66"/>
      <c r="F41" s="66"/>
      <c r="G41" s="66"/>
      <c r="H41" s="68">
        <f>IF(ISNA(VLOOKUP("7B",選手リスト!$B$4:$I$103,4,FALSE)),"",VLOOKUP("7B",選手リスト!$B$4:$I$103,4,FALSE))</f>
        <v>1</v>
      </c>
      <c r="I41" s="80">
        <f>IF(ISNA(VLOOKUP("7B",選手リスト!$B$4:$I$103,5,FALSE)),"",VLOOKUP("7B",選手リスト!$B$4:$I$103,5,FALSE))</f>
        <v>37317</v>
      </c>
      <c r="J41" s="81" t="str">
        <f>VLOOKUP("1A",選手リスト!$B$4:$I$37,3,FALSE)</f>
        <v>福岡　太郎</v>
      </c>
      <c r="K41" s="81" t="str">
        <f>VLOOKUP("1A",選手リスト!$B$4:$I$37,3,FALSE)</f>
        <v>福岡　太郎</v>
      </c>
      <c r="L41" s="81" t="str">
        <f>VLOOKUP("1A",選手リスト!$B$4:$I$37,3,FALSE)</f>
        <v>福岡　太郎</v>
      </c>
      <c r="M41" s="82" t="str">
        <f>VLOOKUP("1A",選手リスト!$B$4:$I$37,3,FALSE)</f>
        <v>福岡　太郎</v>
      </c>
      <c r="N41" s="8" t="s">
        <v>25</v>
      </c>
      <c r="O41" s="73" t="str">
        <f>IF(ISNA(VLOOKUP("7B",選手リスト!$B$4:$I$103,8,FALSE)),"",VLOOKUP("7B",選手リスト!$B$4:$I$103,8,FALSE))</f>
        <v>登録中</v>
      </c>
      <c r="P41" s="68"/>
    </row>
    <row r="42" spans="1:16" ht="18.75" customHeight="1" thickBot="1" x14ac:dyDescent="0.25">
      <c r="A42" s="62"/>
      <c r="B42" s="77"/>
      <c r="C42" s="78"/>
      <c r="D42" s="78"/>
      <c r="E42" s="78"/>
      <c r="F42" s="78"/>
      <c r="G42" s="78"/>
      <c r="H42" s="79"/>
      <c r="I42" s="84">
        <f>IF(ISNA(VLOOKUP("7B",選手リスト!$B$4:$I$103,6,FALSE)),"",VLOOKUP("7B",選手リスト!$B$4:$I$103,6,FALSE))</f>
        <v>42095</v>
      </c>
      <c r="J42" s="85" t="str">
        <f>VLOOKUP("1A",選手リスト!$B$4:$I$37,3,FALSE)</f>
        <v>福岡　太郎</v>
      </c>
      <c r="K42" s="85" t="str">
        <f>VLOOKUP("1A",選手リスト!$B$4:$I$37,3,FALSE)</f>
        <v>福岡　太郎</v>
      </c>
      <c r="L42" s="85" t="str">
        <f>VLOOKUP("1A",選手リスト!$B$4:$I$37,3,FALSE)</f>
        <v>福岡　太郎</v>
      </c>
      <c r="M42" s="86" t="str">
        <f>VLOOKUP("1A",選手リスト!$B$4:$I$37,3,FALSE)</f>
        <v>福岡　太郎</v>
      </c>
      <c r="N42" s="9" t="str">
        <f>IF(ISNA(VLOOKUP("7B",選手リスト!$B$4:$I$103,7,FALSE)),"",VLOOKUP("7B",選手リスト!$B$4:$I$103,7,FALSE))</f>
        <v>入学</v>
      </c>
      <c r="O42" s="83"/>
      <c r="P42" s="79"/>
    </row>
    <row r="43" spans="1:16" x14ac:dyDescent="0.2">
      <c r="B43" s="5" t="s">
        <v>18</v>
      </c>
    </row>
    <row r="44" spans="1:16" ht="9" customHeight="1" x14ac:dyDescent="0.2"/>
    <row r="45" spans="1:16" ht="13.5" customHeight="1" x14ac:dyDescent="0.2">
      <c r="B45" s="109" t="s">
        <v>19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ht="8.25" customHeight="1" x14ac:dyDescent="0.2"/>
    <row r="49" spans="1:16" x14ac:dyDescent="0.2">
      <c r="C49" s="110">
        <f ca="1">NOW()</f>
        <v>42599.409619328704</v>
      </c>
      <c r="D49" s="110"/>
      <c r="E49" s="110"/>
    </row>
    <row r="50" spans="1:16" ht="24" customHeight="1" x14ac:dyDescent="0.2">
      <c r="F50" s="108" t="str">
        <f>IF(B7="","高等学校長",VLOOKUP(B7,学校リスト!$A$2:$F$51,2) &amp; "学校長　")</f>
        <v>高等学校長</v>
      </c>
      <c r="G50" s="108"/>
      <c r="H50" s="108"/>
      <c r="I50" s="108"/>
      <c r="J50" s="108"/>
      <c r="K50" s="108"/>
      <c r="L50" s="108"/>
      <c r="M50" s="108"/>
      <c r="N50" s="108" t="str">
        <f>IF(B7="","　　　　　　　　　　　　　　印",VLOOKUP(B7,学校リスト!$A$2:$F$51,6)&amp;"　　　　　印")</f>
        <v>　　　　　　　　　　　　　　印</v>
      </c>
      <c r="O50" s="108"/>
      <c r="P50" s="108"/>
    </row>
    <row r="52" spans="1:16" x14ac:dyDescent="0.2">
      <c r="A52" s="59" t="s">
        <v>224</v>
      </c>
      <c r="B52" s="59" t="s">
        <v>225</v>
      </c>
    </row>
    <row r="53" spans="1:16" x14ac:dyDescent="0.2">
      <c r="A53" s="59" t="s">
        <v>226</v>
      </c>
      <c r="B53" s="59" t="s">
        <v>227</v>
      </c>
    </row>
    <row r="54" spans="1:16" x14ac:dyDescent="0.2">
      <c r="A54" s="59" t="s">
        <v>223</v>
      </c>
      <c r="B54" s="59" t="s">
        <v>28</v>
      </c>
    </row>
  </sheetData>
  <mergeCells count="127">
    <mergeCell ref="F50:M50"/>
    <mergeCell ref="B45:P47"/>
    <mergeCell ref="C49:E49"/>
    <mergeCell ref="N50:P50"/>
    <mergeCell ref="B7:C8"/>
    <mergeCell ref="A7:A8"/>
    <mergeCell ref="L7:L9"/>
    <mergeCell ref="G9:K9"/>
    <mergeCell ref="D7:D8"/>
    <mergeCell ref="E7:K8"/>
    <mergeCell ref="M7:P7"/>
    <mergeCell ref="M8:P8"/>
    <mergeCell ref="M9:P9"/>
    <mergeCell ref="C15:G16"/>
    <mergeCell ref="C17:G18"/>
    <mergeCell ref="A11:A12"/>
    <mergeCell ref="B11:B12"/>
    <mergeCell ref="A15:A18"/>
    <mergeCell ref="B15:B16"/>
    <mergeCell ref="B17:B18"/>
    <mergeCell ref="C11:F11"/>
    <mergeCell ref="C12:F12"/>
    <mergeCell ref="G11:I11"/>
    <mergeCell ref="B25:B26"/>
    <mergeCell ref="A2:P2"/>
    <mergeCell ref="A3:P3"/>
    <mergeCell ref="A5:P5"/>
    <mergeCell ref="H15:H16"/>
    <mergeCell ref="H17:H18"/>
    <mergeCell ref="I15:M15"/>
    <mergeCell ref="I16:M16"/>
    <mergeCell ref="I17:M17"/>
    <mergeCell ref="I18:M18"/>
    <mergeCell ref="K11:K12"/>
    <mergeCell ref="L11:L12"/>
    <mergeCell ref="M11:O11"/>
    <mergeCell ref="M12:O12"/>
    <mergeCell ref="A9:C9"/>
    <mergeCell ref="A6:C6"/>
    <mergeCell ref="D6:E6"/>
    <mergeCell ref="A10:P10"/>
    <mergeCell ref="A4:P4"/>
    <mergeCell ref="C25:G26"/>
    <mergeCell ref="H25:H26"/>
    <mergeCell ref="I25:M25"/>
    <mergeCell ref="O25:P26"/>
    <mergeCell ref="I26:M26"/>
    <mergeCell ref="I21:M21"/>
    <mergeCell ref="G12:I12"/>
    <mergeCell ref="O15:P16"/>
    <mergeCell ref="I14:N14"/>
    <mergeCell ref="O14:P14"/>
    <mergeCell ref="O17:P18"/>
    <mergeCell ref="I23:M23"/>
    <mergeCell ref="O23:P24"/>
    <mergeCell ref="I24:M24"/>
    <mergeCell ref="A19:A22"/>
    <mergeCell ref="B19:B20"/>
    <mergeCell ref="C19:G20"/>
    <mergeCell ref="H19:H20"/>
    <mergeCell ref="I19:M19"/>
    <mergeCell ref="O19:P20"/>
    <mergeCell ref="I20:M20"/>
    <mergeCell ref="B21:B22"/>
    <mergeCell ref="C21:G22"/>
    <mergeCell ref="H21:H22"/>
    <mergeCell ref="I22:M22"/>
    <mergeCell ref="O21:P22"/>
    <mergeCell ref="O33:P34"/>
    <mergeCell ref="O29:P30"/>
    <mergeCell ref="I30:M30"/>
    <mergeCell ref="A31:A34"/>
    <mergeCell ref="B31:B32"/>
    <mergeCell ref="C31:G32"/>
    <mergeCell ref="H31:H32"/>
    <mergeCell ref="I31:M31"/>
    <mergeCell ref="O31:P32"/>
    <mergeCell ref="I32:M32"/>
    <mergeCell ref="A27:A30"/>
    <mergeCell ref="B27:B28"/>
    <mergeCell ref="C27:G28"/>
    <mergeCell ref="H27:H28"/>
    <mergeCell ref="I27:M27"/>
    <mergeCell ref="O27:P28"/>
    <mergeCell ref="I28:M28"/>
    <mergeCell ref="B29:B30"/>
    <mergeCell ref="C29:G30"/>
    <mergeCell ref="H29:H30"/>
    <mergeCell ref="I34:M34"/>
    <mergeCell ref="I29:M29"/>
    <mergeCell ref="A1:C1"/>
    <mergeCell ref="A23:A26"/>
    <mergeCell ref="B23:B24"/>
    <mergeCell ref="C23:G24"/>
    <mergeCell ref="H23:H24"/>
    <mergeCell ref="I37:M37"/>
    <mergeCell ref="O37:P38"/>
    <mergeCell ref="I38:M38"/>
    <mergeCell ref="A13:P13"/>
    <mergeCell ref="B14:G14"/>
    <mergeCell ref="A35:A38"/>
    <mergeCell ref="B35:B36"/>
    <mergeCell ref="C35:G36"/>
    <mergeCell ref="H35:H36"/>
    <mergeCell ref="I35:M35"/>
    <mergeCell ref="O35:P36"/>
    <mergeCell ref="I36:M36"/>
    <mergeCell ref="B37:B38"/>
    <mergeCell ref="C37:G38"/>
    <mergeCell ref="H37:H38"/>
    <mergeCell ref="B33:B34"/>
    <mergeCell ref="C33:G34"/>
    <mergeCell ref="H33:H34"/>
    <mergeCell ref="I33:M33"/>
    <mergeCell ref="A39:A42"/>
    <mergeCell ref="B39:B40"/>
    <mergeCell ref="C39:G40"/>
    <mergeCell ref="H39:H40"/>
    <mergeCell ref="I39:M39"/>
    <mergeCell ref="O39:P40"/>
    <mergeCell ref="I40:M40"/>
    <mergeCell ref="B41:B42"/>
    <mergeCell ref="C41:G42"/>
    <mergeCell ref="H41:H42"/>
    <mergeCell ref="I41:M41"/>
    <mergeCell ref="O41:P42"/>
    <mergeCell ref="I42:M42"/>
  </mergeCells>
  <phoneticPr fontId="1"/>
  <dataValidations count="6">
    <dataValidation type="list" allowBlank="1" showInputMessage="1" showErrorMessage="1" sqref="A1">
      <formula1>"全国,新人"</formula1>
    </dataValidation>
    <dataValidation type="list" allowBlank="1" showInputMessage="1" showErrorMessage="1" sqref="G12:I12 P12">
      <formula1>"当該校職員,外部指導者"</formula1>
    </dataValidation>
    <dataValidation type="list" allowBlank="1" showInputMessage="1" showErrorMessage="1" sqref="E9">
      <formula1>"教諭,主幹教諭,指導教諭,助教諭,常勤講師,教頭,副校長,校長"</formula1>
    </dataValidation>
    <dataValidation type="list" allowBlank="1" showInputMessage="1" showErrorMessage="1" sqref="D6:E6">
      <formula1>"男子,女子"</formula1>
    </dataValidation>
    <dataValidation type="list" allowBlank="1" showInputMessage="1" showErrorMessage="1" sqref="U13">
      <formula1>"全九州，全国，新人"</formula1>
    </dataValidation>
    <dataValidation type="list" allowBlank="1" showInputMessage="1" showErrorMessage="1" sqref="E9 D6:E6 P12 G12:I12">
      <formula1>#REF!</formula1>
    </dataValidation>
  </dataValidations>
  <printOptions horizontalCentered="1"/>
  <pageMargins left="0.71" right="0.71" top="0.75000000000000011" bottom="0.75000000000000011" header="0.31" footer="0.31"/>
  <pageSetup paperSize="9" scale="90" orientation="portrait" verticalDpi="0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0"/>
  <sheetViews>
    <sheetView workbookViewId="0">
      <selection sqref="A1:C1"/>
    </sheetView>
  </sheetViews>
  <sheetFormatPr defaultColWidth="8.88671875" defaultRowHeight="13.2" x14ac:dyDescent="0.2"/>
  <cols>
    <col min="1" max="1" width="3.44140625" customWidth="1"/>
    <col min="2" max="2" width="3.109375" customWidth="1"/>
    <col min="3" max="3" width="3.88671875" customWidth="1"/>
    <col min="4" max="4" width="6.109375" customWidth="1"/>
    <col min="5" max="5" width="9.6640625" customWidth="1"/>
    <col min="6" max="6" width="4.88671875" customWidth="1"/>
    <col min="7" max="7" width="3.109375" customWidth="1"/>
    <col min="8" max="8" width="4.6640625" customWidth="1"/>
    <col min="9" max="9" width="1.6640625" customWidth="1"/>
    <col min="10" max="10" width="4.109375" customWidth="1"/>
    <col min="11" max="11" width="3.44140625" customWidth="1"/>
    <col min="12" max="12" width="3.109375" customWidth="1"/>
    <col min="13" max="13" width="9.88671875" customWidth="1"/>
    <col min="14" max="14" width="6.109375" customWidth="1"/>
    <col min="15" max="15" width="6.88671875" customWidth="1"/>
    <col min="16" max="16" width="10" customWidth="1"/>
  </cols>
  <sheetData>
    <row r="1" spans="1:16" ht="27" customHeight="1" thickTop="1" thickBot="1" x14ac:dyDescent="0.25">
      <c r="A1" s="87" t="s">
        <v>257</v>
      </c>
      <c r="B1" s="88"/>
      <c r="C1" s="89"/>
    </row>
    <row r="2" spans="1:16" ht="19.8" thickTop="1" x14ac:dyDescent="0.2">
      <c r="A2" s="98" t="str">
        <f>IF($A$1="全九州",$A$48,IF($A$1="全国",$A$49,IF($A$1="新人",$A$50,"")))</f>
        <v>福岡県高等学校ソフトテニス新人大会　中部ブロック予選会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">
      <c r="A3" s="99" t="str">
        <f>IF($A$1="全九州",$B$48,IF($A$1="全国",$B$49,IF($A$1="新人",$B$50,"")))</f>
        <v>（ 兼 全九州高等学校新人ソフトテニス大会　福岡県中部ブロック予選 ）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">
      <c r="A4" s="99" t="str">
        <f>IF($A$1="全国",$B$48,"")</f>
        <v/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9.25" customHeight="1" x14ac:dyDescent="0.2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6.8" thickBot="1" x14ac:dyDescent="0.25">
      <c r="A6" s="107" t="s">
        <v>158</v>
      </c>
      <c r="B6" s="107"/>
      <c r="C6" s="107"/>
      <c r="D6" s="107" t="s">
        <v>21</v>
      </c>
      <c r="E6" s="10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2">
      <c r="A7" s="115" t="s">
        <v>20</v>
      </c>
      <c r="B7" s="111"/>
      <c r="C7" s="112"/>
      <c r="D7" s="63" t="s">
        <v>2</v>
      </c>
      <c r="E7" s="120" t="str">
        <f>IF(B7="","",VLOOKUP(B7,学校リスト!$A$2:$F$51,2) &amp; "学校")</f>
        <v/>
      </c>
      <c r="F7" s="120"/>
      <c r="G7" s="120"/>
      <c r="H7" s="120"/>
      <c r="I7" s="120"/>
      <c r="J7" s="120"/>
      <c r="K7" s="121"/>
      <c r="L7" s="101" t="s">
        <v>6</v>
      </c>
      <c r="M7" s="124" t="str">
        <f>"〒" &amp; IF(B7="","",VLOOKUP(B7,学校リスト!$A$2:$F$51,3))</f>
        <v>〒</v>
      </c>
      <c r="N7" s="125"/>
      <c r="O7" s="125"/>
      <c r="P7" s="126"/>
    </row>
    <row r="8" spans="1:16" ht="18.75" customHeight="1" x14ac:dyDescent="0.2">
      <c r="A8" s="116"/>
      <c r="B8" s="113"/>
      <c r="C8" s="114"/>
      <c r="D8" s="64"/>
      <c r="E8" s="122"/>
      <c r="F8" s="122"/>
      <c r="G8" s="122"/>
      <c r="H8" s="122"/>
      <c r="I8" s="122"/>
      <c r="J8" s="122"/>
      <c r="K8" s="123"/>
      <c r="L8" s="117"/>
      <c r="M8" s="127" t="str">
        <f>IF(B7="","",VLOOKUP(B7,学校リスト!$A$2:$F$51,4))</f>
        <v/>
      </c>
      <c r="N8" s="128"/>
      <c r="O8" s="128"/>
      <c r="P8" s="129"/>
    </row>
    <row r="9" spans="1:16" ht="26.25" customHeight="1" thickBot="1" x14ac:dyDescent="0.25">
      <c r="A9" s="106" t="s">
        <v>3</v>
      </c>
      <c r="B9" s="77"/>
      <c r="C9" s="77"/>
      <c r="D9" s="17" t="s">
        <v>4</v>
      </c>
      <c r="E9" s="19"/>
      <c r="F9" s="17" t="s">
        <v>5</v>
      </c>
      <c r="G9" s="118"/>
      <c r="H9" s="118"/>
      <c r="I9" s="118"/>
      <c r="J9" s="118"/>
      <c r="K9" s="119"/>
      <c r="L9" s="102"/>
      <c r="M9" s="130" t="str">
        <f>"℡  " &amp; IF(B7="","（　　　　  ）　　　  　－　　　  　　",VLOOKUP(B7,学校リスト!$A$2:$F$51,5))</f>
        <v>℡  （　　　　  ）　　　  　－　　　  　　</v>
      </c>
      <c r="N9" s="131"/>
      <c r="O9" s="131"/>
      <c r="P9" s="132"/>
    </row>
    <row r="10" spans="1:16" ht="24.75" customHeight="1" thickBot="1" x14ac:dyDescent="0.25">
      <c r="A10" s="90" t="s">
        <v>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x14ac:dyDescent="0.2">
      <c r="A11" s="101" t="s">
        <v>159</v>
      </c>
      <c r="B11" s="145" t="s">
        <v>163</v>
      </c>
      <c r="C11" s="146"/>
      <c r="D11" s="146"/>
      <c r="E11" s="146"/>
      <c r="F11" s="147"/>
      <c r="G11" s="63"/>
      <c r="H11" s="63"/>
      <c r="I11" s="133"/>
      <c r="J11" s="151"/>
      <c r="K11" s="152"/>
      <c r="L11" s="152"/>
      <c r="M11" s="152"/>
      <c r="N11" s="152"/>
      <c r="O11" s="152"/>
      <c r="P11" s="152"/>
    </row>
    <row r="12" spans="1:16" ht="31.5" customHeight="1" thickBot="1" x14ac:dyDescent="0.25">
      <c r="A12" s="102"/>
      <c r="B12" s="148"/>
      <c r="C12" s="149"/>
      <c r="D12" s="149"/>
      <c r="E12" s="149"/>
      <c r="F12" s="150"/>
      <c r="G12" s="92"/>
      <c r="H12" s="93"/>
      <c r="I12" s="94"/>
      <c r="J12" s="151"/>
      <c r="K12" s="152"/>
      <c r="L12" s="152"/>
      <c r="M12" s="152"/>
      <c r="N12" s="152"/>
      <c r="O12" s="152"/>
      <c r="P12" s="152"/>
    </row>
    <row r="13" spans="1:16" ht="27" customHeight="1" thickBot="1" x14ac:dyDescent="0.25">
      <c r="A13" s="90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7.25" customHeight="1" thickBot="1" x14ac:dyDescent="0.25">
      <c r="A14" s="3"/>
      <c r="B14" s="91" t="s">
        <v>164</v>
      </c>
      <c r="C14" s="91"/>
      <c r="D14" s="91"/>
      <c r="E14" s="91"/>
      <c r="F14" s="91"/>
      <c r="G14" s="91"/>
      <c r="H14" s="4" t="s">
        <v>12</v>
      </c>
      <c r="I14" s="95" t="s">
        <v>13</v>
      </c>
      <c r="J14" s="91"/>
      <c r="K14" s="91"/>
      <c r="L14" s="91"/>
      <c r="M14" s="91"/>
      <c r="N14" s="96"/>
      <c r="O14" s="97" t="s">
        <v>14</v>
      </c>
      <c r="P14" s="96"/>
    </row>
    <row r="15" spans="1:16" ht="25.5" customHeight="1" x14ac:dyDescent="0.2">
      <c r="A15" s="134">
        <v>1</v>
      </c>
      <c r="B15" s="136" t="str">
        <f>IF(ISNA(VLOOKUP(1,選手リスト!$C$4:$I$103,2,FALSE)),"",VLOOKUP(1,選手リスト!$C$4:$I$103,2,FALSE))</f>
        <v>福岡　太郎</v>
      </c>
      <c r="C15" s="153"/>
      <c r="D15" s="153"/>
      <c r="E15" s="153"/>
      <c r="F15" s="153"/>
      <c r="G15" s="154"/>
      <c r="H15" s="67">
        <f>IF(ISNA(VLOOKUP(1,選手リスト!$C$4:$I$103,3,FALSE)),"",VLOOKUP(1,選手リスト!$C$4:$I$103,3,FALSE))</f>
        <v>3</v>
      </c>
      <c r="I15" s="69">
        <f>IF(ISNA(VLOOKUP(1,選手リスト!$C$4:$I$103,4,FALSE)),"",VLOOKUP(1,選手リスト!$C$4:$I$103,4,FALSE))</f>
        <v>36526</v>
      </c>
      <c r="J15" s="70" t="str">
        <f>VLOOKUP("1A",選手リスト!$B$4:$I$37,3,FALSE)</f>
        <v>福岡　太郎</v>
      </c>
      <c r="K15" s="70" t="str">
        <f>VLOOKUP("1A",選手リスト!$B$4:$I$37,3,FALSE)</f>
        <v>福岡　太郎</v>
      </c>
      <c r="L15" s="70" t="str">
        <f>VLOOKUP("1A",選手リスト!$B$4:$I$37,3,FALSE)</f>
        <v>福岡　太郎</v>
      </c>
      <c r="M15" s="71" t="str">
        <f>VLOOKUP("1A",選手リスト!$B$4:$I$37,3,FALSE)</f>
        <v>福岡　太郎</v>
      </c>
      <c r="N15" s="6" t="s">
        <v>17</v>
      </c>
      <c r="O15" s="72">
        <f>IF(ISNA(VLOOKUP(1,選手リスト!$C$4:$I$103,7,FALSE)),"",VLOOKUP(1,選手リスト!$C$4:$I$103,7,FALSE))</f>
        <v>111111111</v>
      </c>
      <c r="P15" s="67"/>
    </row>
    <row r="16" spans="1:16" ht="25.5" customHeight="1" thickBot="1" x14ac:dyDescent="0.25">
      <c r="A16" s="135"/>
      <c r="B16" s="155"/>
      <c r="C16" s="156"/>
      <c r="D16" s="156"/>
      <c r="E16" s="156"/>
      <c r="F16" s="156"/>
      <c r="G16" s="157"/>
      <c r="H16" s="79"/>
      <c r="I16" s="84">
        <f>IF(ISNA(VLOOKUP(1,選手リスト!$C$4:$I$103,5,FALSE)),"",VLOOKUP(1,選手リスト!$C$4:$I$103,5,FALSE))</f>
        <v>41365</v>
      </c>
      <c r="J16" s="85" t="str">
        <f>VLOOKUP("1A",選手リスト!$B$4:$I$37,3,FALSE)</f>
        <v>福岡　太郎</v>
      </c>
      <c r="K16" s="85" t="str">
        <f>VLOOKUP("1A",選手リスト!$B$4:$I$37,3,FALSE)</f>
        <v>福岡　太郎</v>
      </c>
      <c r="L16" s="85" t="str">
        <f>VLOOKUP("1A",選手リスト!$B$4:$I$37,3,FALSE)</f>
        <v>福岡　太郎</v>
      </c>
      <c r="M16" s="86" t="str">
        <f>VLOOKUP("1A",選手リスト!$B$4:$I$37,3,FALSE)</f>
        <v>福岡　太郎</v>
      </c>
      <c r="N16" s="26" t="str">
        <f>IF(ISNA(VLOOKUP(1,選手リスト!$C$4:$I$103,6,FALSE)),"",VLOOKUP(1,選手リスト!$C$4:$I$103,6,FALSE))</f>
        <v>入学</v>
      </c>
      <c r="O16" s="83"/>
      <c r="P16" s="79"/>
    </row>
    <row r="17" spans="1:16" ht="25.5" customHeight="1" x14ac:dyDescent="0.2">
      <c r="A17" s="134">
        <v>2</v>
      </c>
      <c r="B17" s="142" t="str">
        <f>IF(ISNA(VLOOKUP(2,選手リスト!$C$4:$I$103,2,FALSE)),"",VLOOKUP(2,選手リスト!$C$4:$I$103,2,FALSE))</f>
        <v>福岡　次郎</v>
      </c>
      <c r="C17" s="143"/>
      <c r="D17" s="143"/>
      <c r="E17" s="143"/>
      <c r="F17" s="143"/>
      <c r="G17" s="144"/>
      <c r="H17" s="158">
        <f>IF(ISNA(VLOOKUP(2,選手リスト!$C$4:$I$103,3,FALSE)),"",VLOOKUP(2,選手リスト!$C$4:$I$103,3,FALSE))</f>
        <v>3</v>
      </c>
      <c r="I17" s="159">
        <f>IF(ISNA(VLOOKUP(2,選手リスト!$C$4:$I$103,4,FALSE)),"",VLOOKUP(2,選手リスト!$C$4:$I$103,4,FALSE))</f>
        <v>36527</v>
      </c>
      <c r="J17" s="160" t="str">
        <f>VLOOKUP("1A",選手リスト!$B$4:$I$37,3,FALSE)</f>
        <v>福岡　太郎</v>
      </c>
      <c r="K17" s="160" t="str">
        <f>VLOOKUP("1A",選手リスト!$B$4:$I$37,3,FALSE)</f>
        <v>福岡　太郎</v>
      </c>
      <c r="L17" s="160" t="str">
        <f>VLOOKUP("1A",選手リスト!$B$4:$I$37,3,FALSE)</f>
        <v>福岡　太郎</v>
      </c>
      <c r="M17" s="161" t="str">
        <f>VLOOKUP("1A",選手リスト!$B$4:$I$37,3,FALSE)</f>
        <v>福岡　太郎</v>
      </c>
      <c r="N17" s="25" t="s">
        <v>25</v>
      </c>
      <c r="O17" s="162">
        <f>IF(ISNA(VLOOKUP(2,選手リスト!$C$4:$I$103,7,FALSE)),"",VLOOKUP(2,選手リスト!$C$4:$I$103,7,FALSE))</f>
        <v>22222222</v>
      </c>
      <c r="P17" s="158"/>
    </row>
    <row r="18" spans="1:16" ht="25.5" customHeight="1" thickBot="1" x14ac:dyDescent="0.25">
      <c r="A18" s="135"/>
      <c r="B18" s="139"/>
      <c r="C18" s="140"/>
      <c r="D18" s="140"/>
      <c r="E18" s="140"/>
      <c r="F18" s="140"/>
      <c r="G18" s="141"/>
      <c r="H18" s="79"/>
      <c r="I18" s="84">
        <f>IF(ISNA(VLOOKUP(2,選手リスト!$C$4:$I$103,5,FALSE)),"",VLOOKUP(2,選手リスト!$C$4:$I$103,5,FALSE))</f>
        <v>41365</v>
      </c>
      <c r="J18" s="85" t="str">
        <f>VLOOKUP("1A",選手リスト!$B$4:$I$37,3,FALSE)</f>
        <v>福岡　太郎</v>
      </c>
      <c r="K18" s="85" t="str">
        <f>VLOOKUP("1A",選手リスト!$B$4:$I$37,3,FALSE)</f>
        <v>福岡　太郎</v>
      </c>
      <c r="L18" s="85" t="str">
        <f>VLOOKUP("1A",選手リスト!$B$4:$I$37,3,FALSE)</f>
        <v>福岡　太郎</v>
      </c>
      <c r="M18" s="86" t="str">
        <f>VLOOKUP("1A",選手リスト!$B$4:$I$37,3,FALSE)</f>
        <v>福岡　太郎</v>
      </c>
      <c r="N18" s="7" t="str">
        <f>IF(ISNA(VLOOKUP(2,選手リスト!$C$4:$I$103,6,FALSE)),"",VLOOKUP(2,選手リスト!$C$4:$I$103,6,FALSE))</f>
        <v>入学</v>
      </c>
      <c r="O18" s="83"/>
      <c r="P18" s="79"/>
    </row>
    <row r="19" spans="1:16" ht="25.5" customHeight="1" x14ac:dyDescent="0.2">
      <c r="A19" s="134">
        <v>3</v>
      </c>
      <c r="B19" s="136" t="str">
        <f>IF(ISNA(VLOOKUP(3,選手リスト!$C$4:$I$103,2,FALSE)),"",VLOOKUP(3,選手リスト!$C$4:$I$103,2,FALSE))</f>
        <v>福岡　三郎</v>
      </c>
      <c r="C19" s="137"/>
      <c r="D19" s="137"/>
      <c r="E19" s="137"/>
      <c r="F19" s="137"/>
      <c r="G19" s="138"/>
      <c r="H19" s="67">
        <f>IF(ISNA(VLOOKUP(3,選手リスト!$C$4:$I$103,3,FALSE)),"",VLOOKUP(3,選手リスト!$C$4:$I$103,3,FALSE))</f>
        <v>2</v>
      </c>
      <c r="I19" s="69">
        <f>IF(ISNA(VLOOKUP(3,選手リスト!$C$4:$I$103,4,FALSE)),"",VLOOKUP(3,選手リスト!$C$4:$I$103,4,FALSE))</f>
        <v>36923</v>
      </c>
      <c r="J19" s="70" t="str">
        <f>VLOOKUP("1A",選手リスト!$B$4:$I$37,3,FALSE)</f>
        <v>福岡　太郎</v>
      </c>
      <c r="K19" s="70" t="str">
        <f>VLOOKUP("1A",選手リスト!$B$4:$I$37,3,FALSE)</f>
        <v>福岡　太郎</v>
      </c>
      <c r="L19" s="70" t="str">
        <f>VLOOKUP("1A",選手リスト!$B$4:$I$37,3,FALSE)</f>
        <v>福岡　太郎</v>
      </c>
      <c r="M19" s="71" t="str">
        <f>VLOOKUP("1A",選手リスト!$B$4:$I$37,3,FALSE)</f>
        <v>福岡　太郎</v>
      </c>
      <c r="N19" s="6" t="s">
        <v>17</v>
      </c>
      <c r="O19" s="72">
        <f>IF(ISNA(VLOOKUP(3,選手リスト!$C$4:$I$103,7,FALSE)),"",VLOOKUP(3,選手リスト!$C$4:$I$103,7,FALSE))</f>
        <v>33333333</v>
      </c>
      <c r="P19" s="67"/>
    </row>
    <row r="20" spans="1:16" ht="25.5" customHeight="1" thickBot="1" x14ac:dyDescent="0.25">
      <c r="A20" s="135"/>
      <c r="B20" s="139"/>
      <c r="C20" s="140"/>
      <c r="D20" s="140"/>
      <c r="E20" s="140"/>
      <c r="F20" s="140"/>
      <c r="G20" s="141"/>
      <c r="H20" s="79"/>
      <c r="I20" s="84">
        <f>IF(ISNA(VLOOKUP(3,選手リスト!$C$4:$I$103,5,FALSE)),"",VLOOKUP(3,選手リスト!$C$4:$I$103,5,FALSE))</f>
        <v>41730</v>
      </c>
      <c r="J20" s="85" t="str">
        <f>VLOOKUP("1A",選手リスト!$B$4:$I$37,3,FALSE)</f>
        <v>福岡　太郎</v>
      </c>
      <c r="K20" s="85" t="str">
        <f>VLOOKUP("1A",選手リスト!$B$4:$I$37,3,FALSE)</f>
        <v>福岡　太郎</v>
      </c>
      <c r="L20" s="85" t="str">
        <f>VLOOKUP("1A",選手リスト!$B$4:$I$37,3,FALSE)</f>
        <v>福岡　太郎</v>
      </c>
      <c r="M20" s="86" t="str">
        <f>VLOOKUP("1A",選手リスト!$B$4:$I$37,3,FALSE)</f>
        <v>福岡　太郎</v>
      </c>
      <c r="N20" s="9" t="str">
        <f>IF(ISNA(VLOOKUP(3,選手リスト!$C$4:$I$103,6,FALSE)),"",VLOOKUP(3,選手リスト!$C$4:$I$103,6,FALSE))</f>
        <v>入学</v>
      </c>
      <c r="O20" s="83"/>
      <c r="P20" s="79"/>
    </row>
    <row r="21" spans="1:16" ht="25.5" customHeight="1" x14ac:dyDescent="0.2">
      <c r="A21" s="134">
        <v>4</v>
      </c>
      <c r="B21" s="142" t="str">
        <f>IF(ISNA(VLOOKUP(4,選手リスト!$C$4:$I$103,2,FALSE)),"",VLOOKUP(4,選手リスト!$C$4:$I$103,2,FALSE))</f>
        <v>福岡　四郎</v>
      </c>
      <c r="C21" s="143"/>
      <c r="D21" s="143"/>
      <c r="E21" s="143"/>
      <c r="F21" s="143"/>
      <c r="G21" s="144"/>
      <c r="H21" s="158">
        <f>IF(ISNA(VLOOKUP(4,選手リスト!$C$4:$I$103,3,FALSE)),"",VLOOKUP(4,選手リスト!$C$4:$I$103,3,FALSE))</f>
        <v>2</v>
      </c>
      <c r="I21" s="159">
        <f>IF(ISNA(VLOOKUP(4,選手リスト!$C$4:$I$103,4,FALSE)),"",VLOOKUP(4,選手リスト!$C$4:$I$103,4,FALSE))</f>
        <v>36924</v>
      </c>
      <c r="J21" s="160" t="str">
        <f>VLOOKUP("1A",選手リスト!$B$4:$I$37,3,FALSE)</f>
        <v>福岡　太郎</v>
      </c>
      <c r="K21" s="160" t="str">
        <f>VLOOKUP("1A",選手リスト!$B$4:$I$37,3,FALSE)</f>
        <v>福岡　太郎</v>
      </c>
      <c r="L21" s="160" t="str">
        <f>VLOOKUP("1A",選手リスト!$B$4:$I$37,3,FALSE)</f>
        <v>福岡　太郎</v>
      </c>
      <c r="M21" s="161" t="str">
        <f>VLOOKUP("1A",選手リスト!$B$4:$I$37,3,FALSE)</f>
        <v>福岡　太郎</v>
      </c>
      <c r="N21" s="25" t="s">
        <v>25</v>
      </c>
      <c r="O21" s="162">
        <f>IF(ISNA(VLOOKUP(4,選手リスト!$C$4:$I$103,7,FALSE)),"",VLOOKUP(4,選手リスト!$C$4:$I$103,7,FALSE))</f>
        <v>44444444</v>
      </c>
      <c r="P21" s="158"/>
    </row>
    <row r="22" spans="1:16" ht="25.5" customHeight="1" thickBot="1" x14ac:dyDescent="0.25">
      <c r="A22" s="135"/>
      <c r="B22" s="139"/>
      <c r="C22" s="140"/>
      <c r="D22" s="140"/>
      <c r="E22" s="140"/>
      <c r="F22" s="140"/>
      <c r="G22" s="141"/>
      <c r="H22" s="79"/>
      <c r="I22" s="84">
        <f>IF(ISNA(VLOOKUP(4,選手リスト!$C$4:$I$103,5,FALSE)),"",VLOOKUP(4,選手リスト!$C$4:$I$103,5,FALSE))</f>
        <v>41760</v>
      </c>
      <c r="J22" s="85" t="str">
        <f>VLOOKUP("1A",選手リスト!$B$4:$I$37,3,FALSE)</f>
        <v>福岡　太郎</v>
      </c>
      <c r="K22" s="85" t="str">
        <f>VLOOKUP("1A",選手リスト!$B$4:$I$37,3,FALSE)</f>
        <v>福岡　太郎</v>
      </c>
      <c r="L22" s="85" t="str">
        <f>VLOOKUP("1A",選手リスト!$B$4:$I$37,3,FALSE)</f>
        <v>福岡　太郎</v>
      </c>
      <c r="M22" s="86" t="str">
        <f>VLOOKUP("1A",選手リスト!$B$4:$I$37,3,FALSE)</f>
        <v>福岡　太郎</v>
      </c>
      <c r="N22" s="7" t="str">
        <f>IF(ISNA(VLOOKUP(4,選手リスト!$C$4:$I$103,6,FALSE)),"",VLOOKUP(4,選手リスト!$C$4:$I$103,6,FALSE))</f>
        <v>転入</v>
      </c>
      <c r="O22" s="83"/>
      <c r="P22" s="79"/>
    </row>
    <row r="23" spans="1:16" ht="25.5" customHeight="1" x14ac:dyDescent="0.2">
      <c r="A23" s="134">
        <v>5</v>
      </c>
      <c r="B23" s="136" t="str">
        <f>IF(ISNA(VLOOKUP(5,選手リスト!$C$4:$I$103,2,FALSE)),"",VLOOKUP(5,選手リスト!$C$4:$I$103,2,FALSE))</f>
        <v/>
      </c>
      <c r="C23" s="137"/>
      <c r="D23" s="137"/>
      <c r="E23" s="137"/>
      <c r="F23" s="137"/>
      <c r="G23" s="138"/>
      <c r="H23" s="67" t="str">
        <f>IF(ISNA(VLOOKUP(5,選手リスト!$C$4:$I$103,3,FALSE)),"",VLOOKUP(5,選手リスト!$C$4:$I$103,3,FALSE))</f>
        <v/>
      </c>
      <c r="I23" s="69" t="str">
        <f>IF(ISNA(VLOOKUP(5,選手リスト!$C$4:$I$103,4,FALSE)),"",VLOOKUP(5,選手リスト!$C$4:$I$103,4,FALSE))</f>
        <v/>
      </c>
      <c r="J23" s="70" t="str">
        <f>VLOOKUP("1A",選手リスト!$B$4:$I$37,3,FALSE)</f>
        <v>福岡　太郎</v>
      </c>
      <c r="K23" s="70" t="str">
        <f>VLOOKUP("1A",選手リスト!$B$4:$I$37,3,FALSE)</f>
        <v>福岡　太郎</v>
      </c>
      <c r="L23" s="70" t="str">
        <f>VLOOKUP("1A",選手リスト!$B$4:$I$37,3,FALSE)</f>
        <v>福岡　太郎</v>
      </c>
      <c r="M23" s="71" t="str">
        <f>VLOOKUP("1A",選手リスト!$B$4:$I$37,3,FALSE)</f>
        <v>福岡　太郎</v>
      </c>
      <c r="N23" s="6" t="s">
        <v>17</v>
      </c>
      <c r="O23" s="72" t="str">
        <f>IF(ISNA(VLOOKUP(5,選手リスト!$C$4:$I$103,7,FALSE)),"",VLOOKUP(5,選手リスト!$C$4:$I$103,7,FALSE))</f>
        <v/>
      </c>
      <c r="P23" s="67"/>
    </row>
    <row r="24" spans="1:16" ht="25.5" customHeight="1" thickBot="1" x14ac:dyDescent="0.25">
      <c r="A24" s="135"/>
      <c r="B24" s="139"/>
      <c r="C24" s="140"/>
      <c r="D24" s="140"/>
      <c r="E24" s="140"/>
      <c r="F24" s="140"/>
      <c r="G24" s="141"/>
      <c r="H24" s="79"/>
      <c r="I24" s="84" t="str">
        <f>IF(ISNA(VLOOKUP(5,選手リスト!$C$4:$I$103,5,FALSE)),"",VLOOKUP(5,選手リスト!$C$4:$I$103,5,FALSE))</f>
        <v/>
      </c>
      <c r="J24" s="85" t="str">
        <f>VLOOKUP("1A",選手リスト!$B$4:$I$37,3,FALSE)</f>
        <v>福岡　太郎</v>
      </c>
      <c r="K24" s="85" t="str">
        <f>VLOOKUP("1A",選手リスト!$B$4:$I$37,3,FALSE)</f>
        <v>福岡　太郎</v>
      </c>
      <c r="L24" s="85" t="str">
        <f>VLOOKUP("1A",選手リスト!$B$4:$I$37,3,FALSE)</f>
        <v>福岡　太郎</v>
      </c>
      <c r="M24" s="86" t="str">
        <f>VLOOKUP("1A",選手リスト!$B$4:$I$37,3,FALSE)</f>
        <v>福岡　太郎</v>
      </c>
      <c r="N24" s="9" t="str">
        <f>IF(ISNA(VLOOKUP(5,選手リスト!$C$4:$I$103,6,FALSE)),"",VLOOKUP(5,選手リスト!$C$4:$I$103,6,FALSE))</f>
        <v/>
      </c>
      <c r="O24" s="83"/>
      <c r="P24" s="79"/>
    </row>
    <row r="25" spans="1:16" ht="25.5" customHeight="1" x14ac:dyDescent="0.2">
      <c r="A25" s="134">
        <v>6</v>
      </c>
      <c r="B25" s="142" t="str">
        <f>IF(ISNA(VLOOKUP(6,選手リスト!$C$4:$I$103,2,FALSE)),"",VLOOKUP(6,選手リスト!$C$4:$I$103,2,FALSE))</f>
        <v/>
      </c>
      <c r="C25" s="143"/>
      <c r="D25" s="143"/>
      <c r="E25" s="143"/>
      <c r="F25" s="143"/>
      <c r="G25" s="144"/>
      <c r="H25" s="158" t="str">
        <f>IF(ISNA(VLOOKUP(6,選手リスト!$C$4:$I$103,3,FALSE)),"",VLOOKUP(6,選手リスト!$C$4:$I$103,3,FALSE))</f>
        <v/>
      </c>
      <c r="I25" s="159" t="str">
        <f>IF(ISNA(VLOOKUP(6,選手リスト!$C$4:$I$103,4,FALSE)),"",VLOOKUP(6,選手リスト!$C$4:$I$103,4,FALSE))</f>
        <v/>
      </c>
      <c r="J25" s="160" t="str">
        <f>VLOOKUP("1A",選手リスト!$B$4:$I$37,3,FALSE)</f>
        <v>福岡　太郎</v>
      </c>
      <c r="K25" s="160" t="str">
        <f>VLOOKUP("1A",選手リスト!$B$4:$I$37,3,FALSE)</f>
        <v>福岡　太郎</v>
      </c>
      <c r="L25" s="160" t="str">
        <f>VLOOKUP("1A",選手リスト!$B$4:$I$37,3,FALSE)</f>
        <v>福岡　太郎</v>
      </c>
      <c r="M25" s="161" t="str">
        <f>VLOOKUP("1A",選手リスト!$B$4:$I$37,3,FALSE)</f>
        <v>福岡　太郎</v>
      </c>
      <c r="N25" s="25" t="s">
        <v>25</v>
      </c>
      <c r="O25" s="162" t="str">
        <f>IF(ISNA(VLOOKUP(6,選手リスト!$C$4:$I$103,7,FALSE)),"",VLOOKUP(6,選手リスト!$C$4:$I$103,7,FALSE))</f>
        <v/>
      </c>
      <c r="P25" s="158"/>
    </row>
    <row r="26" spans="1:16" ht="25.5" customHeight="1" thickBot="1" x14ac:dyDescent="0.25">
      <c r="A26" s="135"/>
      <c r="B26" s="139"/>
      <c r="C26" s="140"/>
      <c r="D26" s="140"/>
      <c r="E26" s="140"/>
      <c r="F26" s="140"/>
      <c r="G26" s="141"/>
      <c r="H26" s="79"/>
      <c r="I26" s="84" t="str">
        <f>IF(ISNA(VLOOKUP(6,選手リスト!$C$4:$I$103,5,FALSE)),"",VLOOKUP(6,選手リスト!$C$4:$I$103,5,FALSE))</f>
        <v/>
      </c>
      <c r="J26" s="85" t="str">
        <f>VLOOKUP("1A",選手リスト!$B$4:$I$37,3,FALSE)</f>
        <v>福岡　太郎</v>
      </c>
      <c r="K26" s="85" t="str">
        <f>VLOOKUP("1A",選手リスト!$B$4:$I$37,3,FALSE)</f>
        <v>福岡　太郎</v>
      </c>
      <c r="L26" s="85" t="str">
        <f>VLOOKUP("1A",選手リスト!$B$4:$I$37,3,FALSE)</f>
        <v>福岡　太郎</v>
      </c>
      <c r="M26" s="86" t="str">
        <f>VLOOKUP("1A",選手リスト!$B$4:$I$37,3,FALSE)</f>
        <v>福岡　太郎</v>
      </c>
      <c r="N26" s="7" t="str">
        <f>IF(ISNA(VLOOKUP(6,選手リスト!$C$4:$I$103,6,FALSE)),"",VLOOKUP(6,選手リスト!$C$4:$I$103,6,FALSE))</f>
        <v/>
      </c>
      <c r="O26" s="83"/>
      <c r="P26" s="79"/>
    </row>
    <row r="27" spans="1:16" ht="25.5" customHeight="1" x14ac:dyDescent="0.2">
      <c r="A27" s="134">
        <v>7</v>
      </c>
      <c r="B27" s="136" t="str">
        <f>IF(ISNA(VLOOKUP(7,選手リスト!$C$4:$I$103,2,FALSE)),"",VLOOKUP(7,選手リスト!$C$4:$I$103,2,FALSE))</f>
        <v/>
      </c>
      <c r="C27" s="137"/>
      <c r="D27" s="137"/>
      <c r="E27" s="137"/>
      <c r="F27" s="137"/>
      <c r="G27" s="138"/>
      <c r="H27" s="67" t="str">
        <f>IF(ISNA(VLOOKUP(7,選手リスト!$C$4:$I$103,3,FALSE)),"",VLOOKUP(7,選手リスト!$C$4:$I$103,3,FALSE))</f>
        <v/>
      </c>
      <c r="I27" s="69" t="str">
        <f>IF(ISNA(VLOOKUP(7,選手リスト!$C$4:$I$103,4,FALSE)),"",VLOOKUP(7,選手リスト!$C$4:$I$103,4,FALSE))</f>
        <v/>
      </c>
      <c r="J27" s="70" t="str">
        <f>VLOOKUP("1A",選手リスト!$B$4:$I$37,3,FALSE)</f>
        <v>福岡　太郎</v>
      </c>
      <c r="K27" s="70" t="str">
        <f>VLOOKUP("1A",選手リスト!$B$4:$I$37,3,FALSE)</f>
        <v>福岡　太郎</v>
      </c>
      <c r="L27" s="70" t="str">
        <f>VLOOKUP("1A",選手リスト!$B$4:$I$37,3,FALSE)</f>
        <v>福岡　太郎</v>
      </c>
      <c r="M27" s="71" t="str">
        <f>VLOOKUP("1A",選手リスト!$B$4:$I$37,3,FALSE)</f>
        <v>福岡　太郎</v>
      </c>
      <c r="N27" s="6" t="s">
        <v>17</v>
      </c>
      <c r="O27" s="72" t="str">
        <f>IF(ISNA(VLOOKUP(7,選手リスト!$C$4:$I$103,7,FALSE)),"",VLOOKUP(7,選手リスト!$C$4:$I$103,7,FALSE))</f>
        <v/>
      </c>
      <c r="P27" s="67"/>
    </row>
    <row r="28" spans="1:16" ht="25.5" customHeight="1" thickBot="1" x14ac:dyDescent="0.25">
      <c r="A28" s="135"/>
      <c r="B28" s="139"/>
      <c r="C28" s="140"/>
      <c r="D28" s="140"/>
      <c r="E28" s="140"/>
      <c r="F28" s="140"/>
      <c r="G28" s="141"/>
      <c r="H28" s="79"/>
      <c r="I28" s="84" t="str">
        <f>IF(ISNA(VLOOKUP(7,選手リスト!$C$4:$I$103,5,FALSE)),"",VLOOKUP(7,選手リスト!$C$4:$I$103,5,FALSE))</f>
        <v/>
      </c>
      <c r="J28" s="85" t="str">
        <f>VLOOKUP("1A",選手リスト!$B$4:$I$37,3,FALSE)</f>
        <v>福岡　太郎</v>
      </c>
      <c r="K28" s="85" t="str">
        <f>VLOOKUP("1A",選手リスト!$B$4:$I$37,3,FALSE)</f>
        <v>福岡　太郎</v>
      </c>
      <c r="L28" s="85" t="str">
        <f>VLOOKUP("1A",選手リスト!$B$4:$I$37,3,FALSE)</f>
        <v>福岡　太郎</v>
      </c>
      <c r="M28" s="86" t="str">
        <f>VLOOKUP("1A",選手リスト!$B$4:$I$37,3,FALSE)</f>
        <v>福岡　太郎</v>
      </c>
      <c r="N28" s="9" t="str">
        <f>IF(ISNA(VLOOKUP(7,選手リスト!$C$4:$I$103,6,FALSE)),"",VLOOKUP(7,選手リスト!$C$4:$I$103,6,FALSE))</f>
        <v/>
      </c>
      <c r="O28" s="83"/>
      <c r="P28" s="79"/>
    </row>
    <row r="29" spans="1:16" ht="25.5" customHeight="1" x14ac:dyDescent="0.2">
      <c r="A29" s="134">
        <v>8</v>
      </c>
      <c r="B29" s="142" t="str">
        <f>IF(ISNA(VLOOKUP(8,選手リスト!$C$4:$I$103,2,FALSE)),"",VLOOKUP(8,選手リスト!$C$4:$I$103,2,FALSE))</f>
        <v/>
      </c>
      <c r="C29" s="143"/>
      <c r="D29" s="143"/>
      <c r="E29" s="143"/>
      <c r="F29" s="143"/>
      <c r="G29" s="144"/>
      <c r="H29" s="158" t="str">
        <f>IF(ISNA(VLOOKUP(8,選手リスト!$C$4:$I$103,3,FALSE)),"",VLOOKUP(8,選手リスト!$C$4:$I$103,3,FALSE))</f>
        <v/>
      </c>
      <c r="I29" s="159" t="str">
        <f>IF(ISNA(VLOOKUP(8,選手リスト!$C$4:$I$103,4,FALSE)),"",VLOOKUP(8,選手リスト!$C$4:$I$103,4,FALSE))</f>
        <v/>
      </c>
      <c r="J29" s="160" t="str">
        <f>VLOOKUP("1A",選手リスト!$B$4:$I$37,3,FALSE)</f>
        <v>福岡　太郎</v>
      </c>
      <c r="K29" s="160" t="str">
        <f>VLOOKUP("1A",選手リスト!$B$4:$I$37,3,FALSE)</f>
        <v>福岡　太郎</v>
      </c>
      <c r="L29" s="160" t="str">
        <f>VLOOKUP("1A",選手リスト!$B$4:$I$37,3,FALSE)</f>
        <v>福岡　太郎</v>
      </c>
      <c r="M29" s="161" t="str">
        <f>VLOOKUP("1A",選手リスト!$B$4:$I$37,3,FALSE)</f>
        <v>福岡　太郎</v>
      </c>
      <c r="N29" s="25" t="s">
        <v>25</v>
      </c>
      <c r="O29" s="162" t="str">
        <f>IF(ISNA(VLOOKUP(8,選手リスト!$C$4:$I$103,7,FALSE)),"",VLOOKUP(8,選手リスト!$C$4:$I$103,7,FALSE))</f>
        <v/>
      </c>
      <c r="P29" s="158"/>
    </row>
    <row r="30" spans="1:16" ht="25.5" customHeight="1" thickBot="1" x14ac:dyDescent="0.25">
      <c r="A30" s="135"/>
      <c r="B30" s="139"/>
      <c r="C30" s="140"/>
      <c r="D30" s="140"/>
      <c r="E30" s="140"/>
      <c r="F30" s="140"/>
      <c r="G30" s="141"/>
      <c r="H30" s="79"/>
      <c r="I30" s="84" t="str">
        <f>IF(ISNA(VLOOKUP(8,選手リスト!$C$4:$I$103,5,FALSE)),"",VLOOKUP(8,選手リスト!$C$4:$I$103,5,FALSE))</f>
        <v/>
      </c>
      <c r="J30" s="85" t="str">
        <f>VLOOKUP("1A",選手リスト!$B$4:$I$37,3,FALSE)</f>
        <v>福岡　太郎</v>
      </c>
      <c r="K30" s="85" t="str">
        <f>VLOOKUP("1A",選手リスト!$B$4:$I$37,3,FALSE)</f>
        <v>福岡　太郎</v>
      </c>
      <c r="L30" s="85" t="str">
        <f>VLOOKUP("1A",選手リスト!$B$4:$I$37,3,FALSE)</f>
        <v>福岡　太郎</v>
      </c>
      <c r="M30" s="86" t="str">
        <f>VLOOKUP("1A",選手リスト!$B$4:$I$37,3,FALSE)</f>
        <v>福岡　太郎</v>
      </c>
      <c r="N30" s="9" t="str">
        <f>IF(ISNA(VLOOKUP(8,選手リスト!$C$4:$I$103,6,FALSE)),"",VLOOKUP(8,選手リスト!$C$4:$I$103,6,FALSE))</f>
        <v/>
      </c>
      <c r="O30" s="83"/>
      <c r="P30" s="79"/>
    </row>
    <row r="31" spans="1:16" x14ac:dyDescent="0.2">
      <c r="B31" s="5" t="s">
        <v>160</v>
      </c>
    </row>
    <row r="32" spans="1:16" ht="9" customHeight="1" x14ac:dyDescent="0.2"/>
    <row r="33" spans="1:16" ht="13.5" customHeight="1" x14ac:dyDescent="0.2">
      <c r="B33" s="109" t="s">
        <v>19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8.25" customHeight="1" x14ac:dyDescent="0.2"/>
    <row r="37" spans="1:16" x14ac:dyDescent="0.2">
      <c r="C37" s="110">
        <f ca="1">NOW()</f>
        <v>42599.409619328704</v>
      </c>
      <c r="D37" s="110"/>
      <c r="E37" s="110"/>
    </row>
    <row r="38" spans="1:16" ht="24" customHeight="1" x14ac:dyDescent="0.2">
      <c r="F38" s="108" t="str">
        <f>IF(B7="","高等学校長",VLOOKUP(B7,学校リスト!$A$2:$F$51,2) &amp; "学校長　")</f>
        <v>高等学校長</v>
      </c>
      <c r="G38" s="108"/>
      <c r="H38" s="108"/>
      <c r="I38" s="108"/>
      <c r="J38" s="108"/>
      <c r="K38" s="108"/>
      <c r="L38" s="108"/>
      <c r="M38" s="108"/>
      <c r="N38" s="108" t="str">
        <f>IF(B7="","　　　　　　　　　　　　　　印",VLOOKUP(B7,学校リスト!$A$2:$F$51,6)&amp;"　　　　　印")</f>
        <v>　　　　　　　　　　　　　　印</v>
      </c>
      <c r="O38" s="108"/>
      <c r="P38" s="108"/>
    </row>
    <row r="48" spans="1:16" x14ac:dyDescent="0.2">
      <c r="A48" s="45" t="s">
        <v>224</v>
      </c>
      <c r="B48" s="45" t="s">
        <v>225</v>
      </c>
    </row>
    <row r="49" spans="1:2" x14ac:dyDescent="0.2">
      <c r="A49" s="45" t="s">
        <v>226</v>
      </c>
      <c r="B49" s="45" t="s">
        <v>227</v>
      </c>
    </row>
    <row r="50" spans="1:2" x14ac:dyDescent="0.2">
      <c r="A50" s="45" t="s">
        <v>223</v>
      </c>
      <c r="B50" s="45" t="s">
        <v>28</v>
      </c>
    </row>
  </sheetData>
  <mergeCells count="80">
    <mergeCell ref="A2:P2"/>
    <mergeCell ref="A4:P4"/>
    <mergeCell ref="A5:P5"/>
    <mergeCell ref="A6:C6"/>
    <mergeCell ref="D6:E6"/>
    <mergeCell ref="A3:P3"/>
    <mergeCell ref="I14:N14"/>
    <mergeCell ref="O14:P14"/>
    <mergeCell ref="A11:A12"/>
    <mergeCell ref="G11:I11"/>
    <mergeCell ref="M7:P7"/>
    <mergeCell ref="M8:P8"/>
    <mergeCell ref="A9:C9"/>
    <mergeCell ref="G9:K9"/>
    <mergeCell ref="M9:P9"/>
    <mergeCell ref="A10:P10"/>
    <mergeCell ref="A7:A8"/>
    <mergeCell ref="B7:C8"/>
    <mergeCell ref="D7:D8"/>
    <mergeCell ref="E7:K8"/>
    <mergeCell ref="L7:L9"/>
    <mergeCell ref="H15:H16"/>
    <mergeCell ref="I15:M15"/>
    <mergeCell ref="O15:P16"/>
    <mergeCell ref="I16:M16"/>
    <mergeCell ref="H17:H18"/>
    <mergeCell ref="I17:M17"/>
    <mergeCell ref="O17:P18"/>
    <mergeCell ref="I18:M18"/>
    <mergeCell ref="H19:H20"/>
    <mergeCell ref="I19:M19"/>
    <mergeCell ref="O19:P20"/>
    <mergeCell ref="I20:M20"/>
    <mergeCell ref="H21:H22"/>
    <mergeCell ref="I21:M21"/>
    <mergeCell ref="O21:P22"/>
    <mergeCell ref="I22:M22"/>
    <mergeCell ref="B21:G22"/>
    <mergeCell ref="H23:H24"/>
    <mergeCell ref="I23:M23"/>
    <mergeCell ref="O23:P24"/>
    <mergeCell ref="I24:M24"/>
    <mergeCell ref="H25:H26"/>
    <mergeCell ref="I26:M26"/>
    <mergeCell ref="H27:H28"/>
    <mergeCell ref="I27:M27"/>
    <mergeCell ref="O27:P28"/>
    <mergeCell ref="I28:M28"/>
    <mergeCell ref="B33:P35"/>
    <mergeCell ref="C37:E37"/>
    <mergeCell ref="F38:M38"/>
    <mergeCell ref="N38:P38"/>
    <mergeCell ref="B11:F11"/>
    <mergeCell ref="B12:F12"/>
    <mergeCell ref="J11:P12"/>
    <mergeCell ref="B15:G16"/>
    <mergeCell ref="B17:G18"/>
    <mergeCell ref="B19:G20"/>
    <mergeCell ref="H29:H30"/>
    <mergeCell ref="I29:M29"/>
    <mergeCell ref="O29:P30"/>
    <mergeCell ref="I30:M30"/>
    <mergeCell ref="I25:M25"/>
    <mergeCell ref="O25:P26"/>
    <mergeCell ref="A27:A28"/>
    <mergeCell ref="A29:A30"/>
    <mergeCell ref="A1:C1"/>
    <mergeCell ref="B23:G24"/>
    <mergeCell ref="B25:G26"/>
    <mergeCell ref="B27:G28"/>
    <mergeCell ref="B29:G30"/>
    <mergeCell ref="A15:A16"/>
    <mergeCell ref="A17:A18"/>
    <mergeCell ref="A19:A20"/>
    <mergeCell ref="A21:A22"/>
    <mergeCell ref="A23:A24"/>
    <mergeCell ref="A25:A26"/>
    <mergeCell ref="G12:I12"/>
    <mergeCell ref="A13:P13"/>
    <mergeCell ref="B14:G14"/>
  </mergeCells>
  <phoneticPr fontId="1"/>
  <dataValidations count="4">
    <dataValidation type="list" allowBlank="1" showInputMessage="1" showErrorMessage="1" sqref="D6:E6">
      <formula1>"男子,女子"</formula1>
    </dataValidation>
    <dataValidation type="list" allowBlank="1" showInputMessage="1" showErrorMessage="1" sqref="E9">
      <formula1>"教諭,主幹教諭,指導教諭,助教諭,常勤講師,教頭,副校長,校長"</formula1>
    </dataValidation>
    <dataValidation type="list" allowBlank="1" showInputMessage="1" showErrorMessage="1" sqref="G12:I12">
      <formula1>"当該校職員,外部指導者"</formula1>
    </dataValidation>
    <dataValidation type="list" allowBlank="1" showInputMessage="1" showErrorMessage="1" sqref="A1">
      <formula1>"全国,新人"</formula1>
    </dataValidation>
  </dataValidations>
  <printOptions horizontalCentered="1"/>
  <pageMargins left="0.71" right="0.71" top="0.75000000000000011" bottom="0.75000000000000011" header="0.31" footer="0.31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4"/>
  <sheetViews>
    <sheetView workbookViewId="0">
      <selection activeCell="A4" sqref="A4:P4"/>
    </sheetView>
  </sheetViews>
  <sheetFormatPr defaultColWidth="8.88671875" defaultRowHeight="13.2" x14ac:dyDescent="0.2"/>
  <cols>
    <col min="1" max="1" width="3.44140625" customWidth="1"/>
    <col min="2" max="2" width="3.109375" customWidth="1"/>
    <col min="3" max="3" width="3.88671875" customWidth="1"/>
    <col min="4" max="4" width="6.109375" customWidth="1"/>
    <col min="5" max="5" width="9.6640625" customWidth="1"/>
    <col min="6" max="6" width="4.88671875" customWidth="1"/>
    <col min="7" max="7" width="3.109375" customWidth="1"/>
    <col min="8" max="8" width="4.6640625" customWidth="1"/>
    <col min="9" max="9" width="1.6640625" customWidth="1"/>
    <col min="10" max="10" width="4.109375" customWidth="1"/>
    <col min="11" max="11" width="3.44140625" customWidth="1"/>
    <col min="12" max="12" width="3.109375" customWidth="1"/>
    <col min="13" max="13" width="9.88671875" customWidth="1"/>
    <col min="14" max="14" width="6.109375" customWidth="1"/>
    <col min="15" max="15" width="6.88671875" customWidth="1"/>
    <col min="16" max="16" width="10" customWidth="1"/>
  </cols>
  <sheetData>
    <row r="1" spans="1:16" ht="27" customHeight="1" thickTop="1" thickBot="1" x14ac:dyDescent="0.25">
      <c r="A1" s="87" t="s">
        <v>254</v>
      </c>
      <c r="B1" s="88"/>
      <c r="C1" s="89"/>
    </row>
    <row r="2" spans="1:16" ht="19.8" thickTop="1" x14ac:dyDescent="0.2">
      <c r="A2" s="98" t="str">
        <f>IF($A$1="全九州",$A$52,IF($A$1="全国",$A$53,IF($A$1="新人",$A$54,"")))</f>
        <v>福岡県高等学校総合体育大会　ソフトテニス選手権大会　中部ブロック予選会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">
      <c r="A3" s="99" t="str">
        <f>IF($A$1="全九州",$B$52,IF($A$1="全国",$B$53,IF($A$1="新人",$B$54,"")))</f>
        <v>（ 兼 全国高等学校総合体育大会　ソフトテニス選手権大会　福岡県中部ブロック予選 ）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">
      <c r="A4" s="99" t="str">
        <f>IF($A$1="全国",$B$52,"")</f>
        <v>（ 兼 全九州高等学校体育大会　ソフトテニス競技　福岡県中部ブロック予選 ）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9.25" customHeight="1" x14ac:dyDescent="0.2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6.8" thickBot="1" x14ac:dyDescent="0.25">
      <c r="A6" s="107" t="s">
        <v>1</v>
      </c>
      <c r="B6" s="107"/>
      <c r="C6" s="107"/>
      <c r="D6" s="107" t="s">
        <v>21</v>
      </c>
      <c r="E6" s="10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2">
      <c r="A7" s="115" t="s">
        <v>20</v>
      </c>
      <c r="B7" s="111"/>
      <c r="C7" s="112"/>
      <c r="D7" s="63" t="s">
        <v>2</v>
      </c>
      <c r="E7" s="120" t="s">
        <v>145</v>
      </c>
      <c r="F7" s="120"/>
      <c r="G7" s="120"/>
      <c r="H7" s="120"/>
      <c r="I7" s="120"/>
      <c r="J7" s="120"/>
      <c r="K7" s="121"/>
      <c r="L7" s="101" t="s">
        <v>6</v>
      </c>
      <c r="M7" s="124" t="s">
        <v>146</v>
      </c>
      <c r="N7" s="125"/>
      <c r="O7" s="125"/>
      <c r="P7" s="126"/>
    </row>
    <row r="8" spans="1:16" ht="18.75" customHeight="1" x14ac:dyDescent="0.2">
      <c r="A8" s="116"/>
      <c r="B8" s="113"/>
      <c r="C8" s="114"/>
      <c r="D8" s="64"/>
      <c r="E8" s="122"/>
      <c r="F8" s="122"/>
      <c r="G8" s="122"/>
      <c r="H8" s="122"/>
      <c r="I8" s="122"/>
      <c r="J8" s="122"/>
      <c r="K8" s="123"/>
      <c r="L8" s="117"/>
      <c r="M8" s="127" t="s">
        <v>145</v>
      </c>
      <c r="N8" s="128"/>
      <c r="O8" s="128"/>
      <c r="P8" s="129"/>
    </row>
    <row r="9" spans="1:16" ht="26.25" customHeight="1" thickBot="1" x14ac:dyDescent="0.25">
      <c r="A9" s="106" t="s">
        <v>3</v>
      </c>
      <c r="B9" s="77"/>
      <c r="C9" s="77"/>
      <c r="D9" s="15" t="s">
        <v>4</v>
      </c>
      <c r="E9" s="14"/>
      <c r="F9" s="15" t="s">
        <v>5</v>
      </c>
      <c r="G9" s="118"/>
      <c r="H9" s="118"/>
      <c r="I9" s="118"/>
      <c r="J9" s="118"/>
      <c r="K9" s="119"/>
      <c r="L9" s="102"/>
      <c r="M9" s="130" t="s">
        <v>147</v>
      </c>
      <c r="N9" s="131"/>
      <c r="O9" s="131"/>
      <c r="P9" s="132"/>
    </row>
    <row r="10" spans="1:16" ht="24.75" customHeight="1" thickBot="1" x14ac:dyDescent="0.25">
      <c r="A10" s="90" t="s">
        <v>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x14ac:dyDescent="0.2">
      <c r="A11" s="101" t="s">
        <v>8</v>
      </c>
      <c r="B11" s="103" t="s">
        <v>9</v>
      </c>
      <c r="C11" s="63" t="s">
        <v>163</v>
      </c>
      <c r="D11" s="63"/>
      <c r="E11" s="63"/>
      <c r="F11" s="63"/>
      <c r="G11" s="178" t="s">
        <v>150</v>
      </c>
      <c r="H11" s="179"/>
      <c r="I11" s="180"/>
      <c r="K11" s="101" t="s">
        <v>10</v>
      </c>
      <c r="L11" s="103" t="s">
        <v>9</v>
      </c>
      <c r="M11" s="63" t="s">
        <v>5</v>
      </c>
      <c r="N11" s="63"/>
      <c r="O11" s="63"/>
      <c r="P11" s="21" t="s">
        <v>150</v>
      </c>
    </row>
    <row r="12" spans="1:16" ht="31.5" customHeight="1" thickBot="1" x14ac:dyDescent="0.25">
      <c r="A12" s="102"/>
      <c r="B12" s="104"/>
      <c r="C12" s="105"/>
      <c r="D12" s="105"/>
      <c r="E12" s="105"/>
      <c r="F12" s="105"/>
      <c r="G12" s="175" t="s">
        <v>151</v>
      </c>
      <c r="H12" s="176"/>
      <c r="I12" s="177"/>
      <c r="K12" s="102"/>
      <c r="L12" s="104"/>
      <c r="M12" s="105"/>
      <c r="N12" s="105"/>
      <c r="O12" s="105"/>
      <c r="P12" s="20" t="s">
        <v>152</v>
      </c>
    </row>
    <row r="13" spans="1:16" ht="27" customHeight="1" thickBot="1" x14ac:dyDescent="0.25">
      <c r="A13" s="90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7.25" customHeight="1" thickBot="1" x14ac:dyDescent="0.25">
      <c r="A14" s="3"/>
      <c r="B14" s="91" t="s">
        <v>164</v>
      </c>
      <c r="C14" s="91"/>
      <c r="D14" s="91"/>
      <c r="E14" s="91"/>
      <c r="F14" s="91"/>
      <c r="G14" s="91"/>
      <c r="H14" s="4" t="s">
        <v>12</v>
      </c>
      <c r="I14" s="95" t="s">
        <v>13</v>
      </c>
      <c r="J14" s="91"/>
      <c r="K14" s="91"/>
      <c r="L14" s="91"/>
      <c r="M14" s="91"/>
      <c r="N14" s="96"/>
      <c r="O14" s="97" t="s">
        <v>14</v>
      </c>
      <c r="P14" s="96"/>
    </row>
    <row r="15" spans="1:16" ht="18.75" customHeight="1" x14ac:dyDescent="0.2">
      <c r="A15" s="60">
        <v>1</v>
      </c>
      <c r="B15" s="63" t="s">
        <v>15</v>
      </c>
      <c r="C15" s="65" t="s">
        <v>145</v>
      </c>
      <c r="D15" s="65"/>
      <c r="E15" s="65"/>
      <c r="F15" s="65"/>
      <c r="G15" s="65"/>
      <c r="H15" s="67" t="s">
        <v>145</v>
      </c>
      <c r="I15" s="181" t="s">
        <v>154</v>
      </c>
      <c r="J15" s="182" t="e">
        <v>#N/A</v>
      </c>
      <c r="K15" s="182" t="e">
        <v>#N/A</v>
      </c>
      <c r="L15" s="182" t="e">
        <v>#N/A</v>
      </c>
      <c r="M15" s="182" t="e">
        <v>#N/A</v>
      </c>
      <c r="N15" s="6" t="s">
        <v>17</v>
      </c>
      <c r="O15" s="72" t="s">
        <v>145</v>
      </c>
      <c r="P15" s="67"/>
    </row>
    <row r="16" spans="1:16" ht="18.75" customHeight="1" x14ac:dyDescent="0.2">
      <c r="A16" s="61"/>
      <c r="B16" s="64"/>
      <c r="C16" s="66"/>
      <c r="D16" s="66"/>
      <c r="E16" s="66"/>
      <c r="F16" s="66"/>
      <c r="G16" s="66"/>
      <c r="H16" s="68"/>
      <c r="I16" s="183" t="s">
        <v>154</v>
      </c>
      <c r="J16" s="184" t="e">
        <v>#N/A</v>
      </c>
      <c r="K16" s="184" t="e">
        <v>#N/A</v>
      </c>
      <c r="L16" s="184" t="e">
        <v>#N/A</v>
      </c>
      <c r="M16" s="184" t="e">
        <v>#N/A</v>
      </c>
      <c r="N16" s="22" t="s">
        <v>155</v>
      </c>
      <c r="O16" s="73"/>
      <c r="P16" s="68"/>
    </row>
    <row r="17" spans="1:16" ht="18.75" customHeight="1" x14ac:dyDescent="0.2">
      <c r="A17" s="61"/>
      <c r="B17" s="64" t="s">
        <v>16</v>
      </c>
      <c r="C17" s="66" t="s">
        <v>145</v>
      </c>
      <c r="D17" s="66"/>
      <c r="E17" s="66"/>
      <c r="F17" s="66"/>
      <c r="G17" s="66"/>
      <c r="H17" s="68" t="s">
        <v>145</v>
      </c>
      <c r="I17" s="172" t="s">
        <v>154</v>
      </c>
      <c r="J17" s="173" t="e">
        <v>#N/A</v>
      </c>
      <c r="K17" s="173" t="e">
        <v>#N/A</v>
      </c>
      <c r="L17" s="173" t="e">
        <v>#N/A</v>
      </c>
      <c r="M17" s="174" t="e">
        <v>#N/A</v>
      </c>
      <c r="N17" s="8" t="s">
        <v>25</v>
      </c>
      <c r="O17" s="73" t="s">
        <v>145</v>
      </c>
      <c r="P17" s="68"/>
    </row>
    <row r="18" spans="1:16" ht="18.75" customHeight="1" thickBot="1" x14ac:dyDescent="0.25">
      <c r="A18" s="62"/>
      <c r="B18" s="77"/>
      <c r="C18" s="78"/>
      <c r="D18" s="78"/>
      <c r="E18" s="78"/>
      <c r="F18" s="78"/>
      <c r="G18" s="78"/>
      <c r="H18" s="79"/>
      <c r="I18" s="163" t="s">
        <v>154</v>
      </c>
      <c r="J18" s="164" t="e">
        <v>#N/A</v>
      </c>
      <c r="K18" s="164" t="e">
        <v>#N/A</v>
      </c>
      <c r="L18" s="164" t="e">
        <v>#N/A</v>
      </c>
      <c r="M18" s="165" t="e">
        <v>#N/A</v>
      </c>
      <c r="N18" s="22" t="s">
        <v>155</v>
      </c>
      <c r="O18" s="83"/>
      <c r="P18" s="79"/>
    </row>
    <row r="19" spans="1:16" ht="18.75" customHeight="1" x14ac:dyDescent="0.2">
      <c r="A19" s="60">
        <v>2</v>
      </c>
      <c r="B19" s="63" t="s">
        <v>15</v>
      </c>
      <c r="C19" s="65" t="s">
        <v>145</v>
      </c>
      <c r="D19" s="65"/>
      <c r="E19" s="65"/>
      <c r="F19" s="65"/>
      <c r="G19" s="65"/>
      <c r="H19" s="67" t="s">
        <v>145</v>
      </c>
      <c r="I19" s="166" t="s">
        <v>154</v>
      </c>
      <c r="J19" s="167" t="e">
        <v>#N/A</v>
      </c>
      <c r="K19" s="167" t="e">
        <v>#N/A</v>
      </c>
      <c r="L19" s="167" t="e">
        <v>#N/A</v>
      </c>
      <c r="M19" s="168" t="e">
        <v>#N/A</v>
      </c>
      <c r="N19" s="6" t="s">
        <v>17</v>
      </c>
      <c r="O19" s="72" t="s">
        <v>145</v>
      </c>
      <c r="P19" s="67"/>
    </row>
    <row r="20" spans="1:16" ht="18.75" customHeight="1" x14ac:dyDescent="0.2">
      <c r="A20" s="61"/>
      <c r="B20" s="64"/>
      <c r="C20" s="66"/>
      <c r="D20" s="66"/>
      <c r="E20" s="66"/>
      <c r="F20" s="66"/>
      <c r="G20" s="66"/>
      <c r="H20" s="68"/>
      <c r="I20" s="169" t="s">
        <v>154</v>
      </c>
      <c r="J20" s="170" t="e">
        <v>#N/A</v>
      </c>
      <c r="K20" s="170" t="e">
        <v>#N/A</v>
      </c>
      <c r="L20" s="170" t="e">
        <v>#N/A</v>
      </c>
      <c r="M20" s="171" t="e">
        <v>#N/A</v>
      </c>
      <c r="N20" s="22" t="s">
        <v>155</v>
      </c>
      <c r="O20" s="73"/>
      <c r="P20" s="68"/>
    </row>
    <row r="21" spans="1:16" ht="18.75" customHeight="1" x14ac:dyDescent="0.2">
      <c r="A21" s="61"/>
      <c r="B21" s="64" t="s">
        <v>16</v>
      </c>
      <c r="C21" s="66" t="s">
        <v>145</v>
      </c>
      <c r="D21" s="66"/>
      <c r="E21" s="66"/>
      <c r="F21" s="66"/>
      <c r="G21" s="66"/>
      <c r="H21" s="68" t="s">
        <v>145</v>
      </c>
      <c r="I21" s="172" t="s">
        <v>154</v>
      </c>
      <c r="J21" s="173" t="e">
        <v>#N/A</v>
      </c>
      <c r="K21" s="173" t="e">
        <v>#N/A</v>
      </c>
      <c r="L21" s="173" t="e">
        <v>#N/A</v>
      </c>
      <c r="M21" s="174" t="e">
        <v>#N/A</v>
      </c>
      <c r="N21" s="8" t="s">
        <v>25</v>
      </c>
      <c r="O21" s="73" t="s">
        <v>145</v>
      </c>
      <c r="P21" s="68"/>
    </row>
    <row r="22" spans="1:16" ht="18.75" customHeight="1" thickBot="1" x14ac:dyDescent="0.25">
      <c r="A22" s="62"/>
      <c r="B22" s="77"/>
      <c r="C22" s="78"/>
      <c r="D22" s="78"/>
      <c r="E22" s="78"/>
      <c r="F22" s="78"/>
      <c r="G22" s="78"/>
      <c r="H22" s="79"/>
      <c r="I22" s="163" t="s">
        <v>154</v>
      </c>
      <c r="J22" s="164" t="e">
        <v>#N/A</v>
      </c>
      <c r="K22" s="164" t="e">
        <v>#N/A</v>
      </c>
      <c r="L22" s="164" t="e">
        <v>#N/A</v>
      </c>
      <c r="M22" s="165" t="e">
        <v>#N/A</v>
      </c>
      <c r="N22" s="22" t="s">
        <v>155</v>
      </c>
      <c r="O22" s="83"/>
      <c r="P22" s="79"/>
    </row>
    <row r="23" spans="1:16" ht="18.75" customHeight="1" x14ac:dyDescent="0.2">
      <c r="A23" s="60">
        <v>3</v>
      </c>
      <c r="B23" s="63" t="s">
        <v>15</v>
      </c>
      <c r="C23" s="65" t="s">
        <v>145</v>
      </c>
      <c r="D23" s="65"/>
      <c r="E23" s="65"/>
      <c r="F23" s="65"/>
      <c r="G23" s="65"/>
      <c r="H23" s="67" t="s">
        <v>145</v>
      </c>
      <c r="I23" s="166" t="s">
        <v>154</v>
      </c>
      <c r="J23" s="167" t="e">
        <v>#N/A</v>
      </c>
      <c r="K23" s="167" t="e">
        <v>#N/A</v>
      </c>
      <c r="L23" s="167" t="e">
        <v>#N/A</v>
      </c>
      <c r="M23" s="168" t="e">
        <v>#N/A</v>
      </c>
      <c r="N23" s="6" t="s">
        <v>17</v>
      </c>
      <c r="O23" s="72" t="s">
        <v>145</v>
      </c>
      <c r="P23" s="67"/>
    </row>
    <row r="24" spans="1:16" ht="18.75" customHeight="1" x14ac:dyDescent="0.2">
      <c r="A24" s="61"/>
      <c r="B24" s="64"/>
      <c r="C24" s="66"/>
      <c r="D24" s="66"/>
      <c r="E24" s="66"/>
      <c r="F24" s="66"/>
      <c r="G24" s="66"/>
      <c r="H24" s="68"/>
      <c r="I24" s="169" t="s">
        <v>154</v>
      </c>
      <c r="J24" s="170" t="e">
        <v>#N/A</v>
      </c>
      <c r="K24" s="170" t="e">
        <v>#N/A</v>
      </c>
      <c r="L24" s="170" t="e">
        <v>#N/A</v>
      </c>
      <c r="M24" s="171" t="e">
        <v>#N/A</v>
      </c>
      <c r="N24" s="22" t="s">
        <v>155</v>
      </c>
      <c r="O24" s="73"/>
      <c r="P24" s="68"/>
    </row>
    <row r="25" spans="1:16" ht="18.75" customHeight="1" x14ac:dyDescent="0.2">
      <c r="A25" s="61"/>
      <c r="B25" s="64" t="s">
        <v>16</v>
      </c>
      <c r="C25" s="66" t="s">
        <v>145</v>
      </c>
      <c r="D25" s="66"/>
      <c r="E25" s="66"/>
      <c r="F25" s="66"/>
      <c r="G25" s="66"/>
      <c r="H25" s="68" t="s">
        <v>145</v>
      </c>
      <c r="I25" s="172" t="s">
        <v>154</v>
      </c>
      <c r="J25" s="173" t="e">
        <v>#N/A</v>
      </c>
      <c r="K25" s="173" t="e">
        <v>#N/A</v>
      </c>
      <c r="L25" s="173" t="e">
        <v>#N/A</v>
      </c>
      <c r="M25" s="174" t="e">
        <v>#N/A</v>
      </c>
      <c r="N25" s="8" t="s">
        <v>25</v>
      </c>
      <c r="O25" s="73" t="s">
        <v>145</v>
      </c>
      <c r="P25" s="68"/>
    </row>
    <row r="26" spans="1:16" ht="18.75" customHeight="1" thickBot="1" x14ac:dyDescent="0.25">
      <c r="A26" s="62"/>
      <c r="B26" s="77"/>
      <c r="C26" s="78"/>
      <c r="D26" s="78"/>
      <c r="E26" s="78"/>
      <c r="F26" s="78"/>
      <c r="G26" s="78"/>
      <c r="H26" s="79"/>
      <c r="I26" s="163" t="s">
        <v>154</v>
      </c>
      <c r="J26" s="164" t="e">
        <v>#N/A</v>
      </c>
      <c r="K26" s="164" t="e">
        <v>#N/A</v>
      </c>
      <c r="L26" s="164" t="e">
        <v>#N/A</v>
      </c>
      <c r="M26" s="165" t="e">
        <v>#N/A</v>
      </c>
      <c r="N26" s="22" t="s">
        <v>155</v>
      </c>
      <c r="O26" s="83"/>
      <c r="P26" s="79"/>
    </row>
    <row r="27" spans="1:16" ht="18.75" customHeight="1" x14ac:dyDescent="0.2">
      <c r="A27" s="60">
        <v>4</v>
      </c>
      <c r="B27" s="63" t="s">
        <v>15</v>
      </c>
      <c r="C27" s="65" t="s">
        <v>145</v>
      </c>
      <c r="D27" s="65"/>
      <c r="E27" s="65"/>
      <c r="F27" s="65"/>
      <c r="G27" s="65"/>
      <c r="H27" s="67" t="s">
        <v>145</v>
      </c>
      <c r="I27" s="166" t="s">
        <v>154</v>
      </c>
      <c r="J27" s="167" t="e">
        <v>#N/A</v>
      </c>
      <c r="K27" s="167" t="e">
        <v>#N/A</v>
      </c>
      <c r="L27" s="167" t="e">
        <v>#N/A</v>
      </c>
      <c r="M27" s="168" t="e">
        <v>#N/A</v>
      </c>
      <c r="N27" s="6" t="s">
        <v>17</v>
      </c>
      <c r="O27" s="72" t="s">
        <v>145</v>
      </c>
      <c r="P27" s="67"/>
    </row>
    <row r="28" spans="1:16" ht="18.75" customHeight="1" x14ac:dyDescent="0.2">
      <c r="A28" s="61"/>
      <c r="B28" s="64"/>
      <c r="C28" s="66"/>
      <c r="D28" s="66"/>
      <c r="E28" s="66"/>
      <c r="F28" s="66"/>
      <c r="G28" s="66"/>
      <c r="H28" s="68"/>
      <c r="I28" s="169" t="s">
        <v>154</v>
      </c>
      <c r="J28" s="170" t="e">
        <v>#N/A</v>
      </c>
      <c r="K28" s="170" t="e">
        <v>#N/A</v>
      </c>
      <c r="L28" s="170" t="e">
        <v>#N/A</v>
      </c>
      <c r="M28" s="171" t="e">
        <v>#N/A</v>
      </c>
      <c r="N28" s="22" t="s">
        <v>155</v>
      </c>
      <c r="O28" s="73"/>
      <c r="P28" s="68"/>
    </row>
    <row r="29" spans="1:16" ht="18.75" customHeight="1" x14ac:dyDescent="0.2">
      <c r="A29" s="61"/>
      <c r="B29" s="64" t="s">
        <v>16</v>
      </c>
      <c r="C29" s="66" t="s">
        <v>145</v>
      </c>
      <c r="D29" s="66"/>
      <c r="E29" s="66"/>
      <c r="F29" s="66"/>
      <c r="G29" s="66"/>
      <c r="H29" s="68" t="s">
        <v>145</v>
      </c>
      <c r="I29" s="172" t="s">
        <v>154</v>
      </c>
      <c r="J29" s="173" t="e">
        <v>#N/A</v>
      </c>
      <c r="K29" s="173" t="e">
        <v>#N/A</v>
      </c>
      <c r="L29" s="173" t="e">
        <v>#N/A</v>
      </c>
      <c r="M29" s="174" t="e">
        <v>#N/A</v>
      </c>
      <c r="N29" s="8" t="s">
        <v>25</v>
      </c>
      <c r="O29" s="73" t="s">
        <v>145</v>
      </c>
      <c r="P29" s="68"/>
    </row>
    <row r="30" spans="1:16" ht="18.75" customHeight="1" thickBot="1" x14ac:dyDescent="0.25">
      <c r="A30" s="62"/>
      <c r="B30" s="77"/>
      <c r="C30" s="78"/>
      <c r="D30" s="78"/>
      <c r="E30" s="78"/>
      <c r="F30" s="78"/>
      <c r="G30" s="78"/>
      <c r="H30" s="79"/>
      <c r="I30" s="163" t="s">
        <v>154</v>
      </c>
      <c r="J30" s="164" t="e">
        <v>#N/A</v>
      </c>
      <c r="K30" s="164" t="e">
        <v>#N/A</v>
      </c>
      <c r="L30" s="164" t="e">
        <v>#N/A</v>
      </c>
      <c r="M30" s="165" t="e">
        <v>#N/A</v>
      </c>
      <c r="N30" s="22" t="s">
        <v>155</v>
      </c>
      <c r="O30" s="83"/>
      <c r="P30" s="79"/>
    </row>
    <row r="31" spans="1:16" ht="18.75" customHeight="1" x14ac:dyDescent="0.2">
      <c r="A31" s="60">
        <v>5</v>
      </c>
      <c r="B31" s="63" t="s">
        <v>15</v>
      </c>
      <c r="C31" s="65" t="s">
        <v>145</v>
      </c>
      <c r="D31" s="65"/>
      <c r="E31" s="65"/>
      <c r="F31" s="65"/>
      <c r="G31" s="65"/>
      <c r="H31" s="67" t="s">
        <v>145</v>
      </c>
      <c r="I31" s="166" t="s">
        <v>154</v>
      </c>
      <c r="J31" s="167" t="e">
        <v>#N/A</v>
      </c>
      <c r="K31" s="167" t="e">
        <v>#N/A</v>
      </c>
      <c r="L31" s="167" t="e">
        <v>#N/A</v>
      </c>
      <c r="M31" s="168" t="e">
        <v>#N/A</v>
      </c>
      <c r="N31" s="6" t="s">
        <v>17</v>
      </c>
      <c r="O31" s="72" t="s">
        <v>145</v>
      </c>
      <c r="P31" s="67"/>
    </row>
    <row r="32" spans="1:16" ht="18.75" customHeight="1" x14ac:dyDescent="0.2">
      <c r="A32" s="61"/>
      <c r="B32" s="64"/>
      <c r="C32" s="66"/>
      <c r="D32" s="66"/>
      <c r="E32" s="66"/>
      <c r="F32" s="66"/>
      <c r="G32" s="66"/>
      <c r="H32" s="68"/>
      <c r="I32" s="169" t="s">
        <v>154</v>
      </c>
      <c r="J32" s="170" t="e">
        <v>#N/A</v>
      </c>
      <c r="K32" s="170" t="e">
        <v>#N/A</v>
      </c>
      <c r="L32" s="170" t="e">
        <v>#N/A</v>
      </c>
      <c r="M32" s="171" t="e">
        <v>#N/A</v>
      </c>
      <c r="N32" s="22" t="s">
        <v>155</v>
      </c>
      <c r="O32" s="73"/>
      <c r="P32" s="68"/>
    </row>
    <row r="33" spans="1:16" ht="18.75" customHeight="1" x14ac:dyDescent="0.2">
      <c r="A33" s="61"/>
      <c r="B33" s="64" t="s">
        <v>16</v>
      </c>
      <c r="C33" s="66" t="s">
        <v>145</v>
      </c>
      <c r="D33" s="66"/>
      <c r="E33" s="66"/>
      <c r="F33" s="66"/>
      <c r="G33" s="66"/>
      <c r="H33" s="68" t="s">
        <v>145</v>
      </c>
      <c r="I33" s="172" t="s">
        <v>154</v>
      </c>
      <c r="J33" s="173" t="e">
        <v>#N/A</v>
      </c>
      <c r="K33" s="173" t="e">
        <v>#N/A</v>
      </c>
      <c r="L33" s="173" t="e">
        <v>#N/A</v>
      </c>
      <c r="M33" s="174" t="e">
        <v>#N/A</v>
      </c>
      <c r="N33" s="8" t="s">
        <v>25</v>
      </c>
      <c r="O33" s="73" t="s">
        <v>145</v>
      </c>
      <c r="P33" s="68"/>
    </row>
    <row r="34" spans="1:16" ht="18.75" customHeight="1" thickBot="1" x14ac:dyDescent="0.25">
      <c r="A34" s="62"/>
      <c r="B34" s="77"/>
      <c r="C34" s="78"/>
      <c r="D34" s="78"/>
      <c r="E34" s="78"/>
      <c r="F34" s="78"/>
      <c r="G34" s="78"/>
      <c r="H34" s="79"/>
      <c r="I34" s="163" t="s">
        <v>154</v>
      </c>
      <c r="J34" s="164" t="e">
        <v>#N/A</v>
      </c>
      <c r="K34" s="164" t="e">
        <v>#N/A</v>
      </c>
      <c r="L34" s="164" t="e">
        <v>#N/A</v>
      </c>
      <c r="M34" s="165" t="e">
        <v>#N/A</v>
      </c>
      <c r="N34" s="22" t="s">
        <v>155</v>
      </c>
      <c r="O34" s="83"/>
      <c r="P34" s="79"/>
    </row>
    <row r="35" spans="1:16" ht="18.75" customHeight="1" x14ac:dyDescent="0.2">
      <c r="A35" s="60">
        <v>6</v>
      </c>
      <c r="B35" s="63" t="s">
        <v>15</v>
      </c>
      <c r="C35" s="65" t="s">
        <v>145</v>
      </c>
      <c r="D35" s="65"/>
      <c r="E35" s="65"/>
      <c r="F35" s="65"/>
      <c r="G35" s="65"/>
      <c r="H35" s="67" t="s">
        <v>145</v>
      </c>
      <c r="I35" s="166" t="s">
        <v>154</v>
      </c>
      <c r="J35" s="167" t="e">
        <v>#N/A</v>
      </c>
      <c r="K35" s="167" t="e">
        <v>#N/A</v>
      </c>
      <c r="L35" s="167" t="e">
        <v>#N/A</v>
      </c>
      <c r="M35" s="168" t="e">
        <v>#N/A</v>
      </c>
      <c r="N35" s="6" t="s">
        <v>17</v>
      </c>
      <c r="O35" s="72" t="s">
        <v>145</v>
      </c>
      <c r="P35" s="67"/>
    </row>
    <row r="36" spans="1:16" ht="18.75" customHeight="1" x14ac:dyDescent="0.2">
      <c r="A36" s="61"/>
      <c r="B36" s="64"/>
      <c r="C36" s="66"/>
      <c r="D36" s="66"/>
      <c r="E36" s="66"/>
      <c r="F36" s="66"/>
      <c r="G36" s="66"/>
      <c r="H36" s="68"/>
      <c r="I36" s="169" t="s">
        <v>154</v>
      </c>
      <c r="J36" s="170" t="e">
        <v>#N/A</v>
      </c>
      <c r="K36" s="170" t="e">
        <v>#N/A</v>
      </c>
      <c r="L36" s="170" t="e">
        <v>#N/A</v>
      </c>
      <c r="M36" s="171" t="e">
        <v>#N/A</v>
      </c>
      <c r="N36" s="22" t="s">
        <v>155</v>
      </c>
      <c r="O36" s="73"/>
      <c r="P36" s="68"/>
    </row>
    <row r="37" spans="1:16" ht="18.75" customHeight="1" x14ac:dyDescent="0.2">
      <c r="A37" s="61"/>
      <c r="B37" s="64" t="s">
        <v>16</v>
      </c>
      <c r="C37" s="66" t="s">
        <v>145</v>
      </c>
      <c r="D37" s="66"/>
      <c r="E37" s="66"/>
      <c r="F37" s="66"/>
      <c r="G37" s="66"/>
      <c r="H37" s="68" t="s">
        <v>145</v>
      </c>
      <c r="I37" s="172" t="s">
        <v>154</v>
      </c>
      <c r="J37" s="173" t="e">
        <v>#N/A</v>
      </c>
      <c r="K37" s="173" t="e">
        <v>#N/A</v>
      </c>
      <c r="L37" s="173" t="e">
        <v>#N/A</v>
      </c>
      <c r="M37" s="174" t="e">
        <v>#N/A</v>
      </c>
      <c r="N37" s="8" t="s">
        <v>25</v>
      </c>
      <c r="O37" s="73" t="s">
        <v>145</v>
      </c>
      <c r="P37" s="68"/>
    </row>
    <row r="38" spans="1:16" ht="18.75" customHeight="1" thickBot="1" x14ac:dyDescent="0.25">
      <c r="A38" s="62"/>
      <c r="B38" s="77"/>
      <c r="C38" s="78"/>
      <c r="D38" s="78"/>
      <c r="E38" s="78"/>
      <c r="F38" s="78"/>
      <c r="G38" s="78"/>
      <c r="H38" s="79"/>
      <c r="I38" s="163" t="s">
        <v>154</v>
      </c>
      <c r="J38" s="164" t="e">
        <v>#N/A</v>
      </c>
      <c r="K38" s="164" t="e">
        <v>#N/A</v>
      </c>
      <c r="L38" s="164" t="e">
        <v>#N/A</v>
      </c>
      <c r="M38" s="165" t="e">
        <v>#N/A</v>
      </c>
      <c r="N38" s="23" t="s">
        <v>155</v>
      </c>
      <c r="O38" s="83"/>
      <c r="P38" s="79"/>
    </row>
    <row r="39" spans="1:16" ht="18.75" customHeight="1" x14ac:dyDescent="0.2">
      <c r="A39" s="60">
        <v>7</v>
      </c>
      <c r="B39" s="63" t="s">
        <v>15</v>
      </c>
      <c r="C39" s="65" t="s">
        <v>145</v>
      </c>
      <c r="D39" s="65"/>
      <c r="E39" s="65"/>
      <c r="F39" s="65"/>
      <c r="G39" s="65"/>
      <c r="H39" s="67" t="s">
        <v>145</v>
      </c>
      <c r="I39" s="166" t="s">
        <v>154</v>
      </c>
      <c r="J39" s="167" t="e">
        <v>#N/A</v>
      </c>
      <c r="K39" s="167" t="e">
        <v>#N/A</v>
      </c>
      <c r="L39" s="167" t="e">
        <v>#N/A</v>
      </c>
      <c r="M39" s="168" t="e">
        <v>#N/A</v>
      </c>
      <c r="N39" s="6" t="s">
        <v>17</v>
      </c>
      <c r="O39" s="72" t="s">
        <v>145</v>
      </c>
      <c r="P39" s="67"/>
    </row>
    <row r="40" spans="1:16" ht="18.75" customHeight="1" x14ac:dyDescent="0.2">
      <c r="A40" s="61"/>
      <c r="B40" s="64"/>
      <c r="C40" s="66"/>
      <c r="D40" s="66"/>
      <c r="E40" s="66"/>
      <c r="F40" s="66"/>
      <c r="G40" s="66"/>
      <c r="H40" s="68"/>
      <c r="I40" s="169" t="s">
        <v>154</v>
      </c>
      <c r="J40" s="170" t="e">
        <v>#N/A</v>
      </c>
      <c r="K40" s="170" t="e">
        <v>#N/A</v>
      </c>
      <c r="L40" s="170" t="e">
        <v>#N/A</v>
      </c>
      <c r="M40" s="171" t="e">
        <v>#N/A</v>
      </c>
      <c r="N40" s="22" t="s">
        <v>155</v>
      </c>
      <c r="O40" s="73"/>
      <c r="P40" s="68"/>
    </row>
    <row r="41" spans="1:16" ht="18.75" customHeight="1" x14ac:dyDescent="0.2">
      <c r="A41" s="61"/>
      <c r="B41" s="64" t="s">
        <v>16</v>
      </c>
      <c r="C41" s="66" t="s">
        <v>145</v>
      </c>
      <c r="D41" s="66"/>
      <c r="E41" s="66"/>
      <c r="F41" s="66"/>
      <c r="G41" s="66"/>
      <c r="H41" s="68" t="s">
        <v>145</v>
      </c>
      <c r="I41" s="172" t="s">
        <v>154</v>
      </c>
      <c r="J41" s="173" t="e">
        <v>#N/A</v>
      </c>
      <c r="K41" s="173" t="e">
        <v>#N/A</v>
      </c>
      <c r="L41" s="173" t="e">
        <v>#N/A</v>
      </c>
      <c r="M41" s="174" t="e">
        <v>#N/A</v>
      </c>
      <c r="N41" s="8" t="s">
        <v>25</v>
      </c>
      <c r="O41" s="73" t="s">
        <v>145</v>
      </c>
      <c r="P41" s="68"/>
    </row>
    <row r="42" spans="1:16" ht="18.75" customHeight="1" thickBot="1" x14ac:dyDescent="0.25">
      <c r="A42" s="62"/>
      <c r="B42" s="77"/>
      <c r="C42" s="78"/>
      <c r="D42" s="78"/>
      <c r="E42" s="78"/>
      <c r="F42" s="78"/>
      <c r="G42" s="78"/>
      <c r="H42" s="79"/>
      <c r="I42" s="163" t="s">
        <v>154</v>
      </c>
      <c r="J42" s="164" t="e">
        <v>#N/A</v>
      </c>
      <c r="K42" s="164" t="e">
        <v>#N/A</v>
      </c>
      <c r="L42" s="164" t="e">
        <v>#N/A</v>
      </c>
      <c r="M42" s="165" t="e">
        <v>#N/A</v>
      </c>
      <c r="N42" s="23" t="s">
        <v>155</v>
      </c>
      <c r="O42" s="83"/>
      <c r="P42" s="79"/>
    </row>
    <row r="43" spans="1:16" x14ac:dyDescent="0.2">
      <c r="B43" s="5" t="s">
        <v>18</v>
      </c>
    </row>
    <row r="44" spans="1:16" ht="9" customHeight="1" x14ac:dyDescent="0.2"/>
    <row r="45" spans="1:16" ht="13.5" customHeight="1" x14ac:dyDescent="0.2">
      <c r="B45" s="109" t="s">
        <v>19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ht="8.25" customHeight="1" x14ac:dyDescent="0.2"/>
    <row r="49" spans="1:16" x14ac:dyDescent="0.2">
      <c r="C49" s="110" t="s">
        <v>153</v>
      </c>
      <c r="D49" s="110"/>
      <c r="E49" s="110"/>
    </row>
    <row r="50" spans="1:16" ht="24" customHeight="1" x14ac:dyDescent="0.2">
      <c r="F50" s="108" t="s">
        <v>148</v>
      </c>
      <c r="G50" s="108"/>
      <c r="H50" s="108"/>
      <c r="I50" s="108"/>
      <c r="J50" s="108"/>
      <c r="K50" s="108"/>
      <c r="L50" s="108"/>
      <c r="M50" s="108"/>
      <c r="N50" s="185" t="s">
        <v>149</v>
      </c>
      <c r="O50" s="185"/>
      <c r="P50" s="185"/>
    </row>
    <row r="52" spans="1:16" x14ac:dyDescent="0.2">
      <c r="A52" s="45" t="s">
        <v>224</v>
      </c>
      <c r="B52" s="45" t="s">
        <v>225</v>
      </c>
    </row>
    <row r="53" spans="1:16" x14ac:dyDescent="0.2">
      <c r="A53" s="45" t="s">
        <v>226</v>
      </c>
      <c r="B53" s="45" t="s">
        <v>227</v>
      </c>
    </row>
    <row r="54" spans="1:16" x14ac:dyDescent="0.2">
      <c r="A54" s="45" t="s">
        <v>223</v>
      </c>
      <c r="B54" s="45" t="s">
        <v>28</v>
      </c>
    </row>
  </sheetData>
  <mergeCells count="127">
    <mergeCell ref="A1:C1"/>
    <mergeCell ref="B45:P47"/>
    <mergeCell ref="C49:E49"/>
    <mergeCell ref="F50:M50"/>
    <mergeCell ref="N50:P50"/>
    <mergeCell ref="B37:B38"/>
    <mergeCell ref="C37:G38"/>
    <mergeCell ref="H37:H38"/>
    <mergeCell ref="I37:M37"/>
    <mergeCell ref="O37:P38"/>
    <mergeCell ref="I38:M38"/>
    <mergeCell ref="I30:M30"/>
    <mergeCell ref="I25:M25"/>
    <mergeCell ref="O25:P26"/>
    <mergeCell ref="I26:M26"/>
    <mergeCell ref="I33:M33"/>
    <mergeCell ref="O33:P34"/>
    <mergeCell ref="I34:M34"/>
    <mergeCell ref="A35:A38"/>
    <mergeCell ref="B35:B36"/>
    <mergeCell ref="C35:G36"/>
    <mergeCell ref="H35:H36"/>
    <mergeCell ref="I35:M35"/>
    <mergeCell ref="O35:P36"/>
    <mergeCell ref="I36:M36"/>
    <mergeCell ref="A31:A34"/>
    <mergeCell ref="B31:B32"/>
    <mergeCell ref="C31:G32"/>
    <mergeCell ref="H31:H32"/>
    <mergeCell ref="I31:M31"/>
    <mergeCell ref="O31:P32"/>
    <mergeCell ref="I32:M32"/>
    <mergeCell ref="B33:B34"/>
    <mergeCell ref="C33:G34"/>
    <mergeCell ref="H33:H34"/>
    <mergeCell ref="O17:P18"/>
    <mergeCell ref="I18:M18"/>
    <mergeCell ref="A27:A30"/>
    <mergeCell ref="B27:B28"/>
    <mergeCell ref="C27:G28"/>
    <mergeCell ref="H27:H28"/>
    <mergeCell ref="I27:M27"/>
    <mergeCell ref="O27:P28"/>
    <mergeCell ref="I28:M28"/>
    <mergeCell ref="A23:A26"/>
    <mergeCell ref="B23:B24"/>
    <mergeCell ref="C23:G24"/>
    <mergeCell ref="H23:H24"/>
    <mergeCell ref="I23:M23"/>
    <mergeCell ref="O23:P24"/>
    <mergeCell ref="I24:M24"/>
    <mergeCell ref="B25:B26"/>
    <mergeCell ref="C25:G26"/>
    <mergeCell ref="H25:H26"/>
    <mergeCell ref="B29:B30"/>
    <mergeCell ref="C29:G30"/>
    <mergeCell ref="H29:H30"/>
    <mergeCell ref="I29:M29"/>
    <mergeCell ref="O29:P30"/>
    <mergeCell ref="A19:A22"/>
    <mergeCell ref="B19:B20"/>
    <mergeCell ref="C19:G20"/>
    <mergeCell ref="H19:H20"/>
    <mergeCell ref="I19:M19"/>
    <mergeCell ref="O19:P20"/>
    <mergeCell ref="I20:M20"/>
    <mergeCell ref="A15:A18"/>
    <mergeCell ref="B15:B16"/>
    <mergeCell ref="C15:G16"/>
    <mergeCell ref="H15:H16"/>
    <mergeCell ref="I15:M15"/>
    <mergeCell ref="O15:P16"/>
    <mergeCell ref="I16:M16"/>
    <mergeCell ref="B17:B18"/>
    <mergeCell ref="C17:G18"/>
    <mergeCell ref="H17:H18"/>
    <mergeCell ref="B21:B22"/>
    <mergeCell ref="C21:G22"/>
    <mergeCell ref="H21:H22"/>
    <mergeCell ref="I21:M21"/>
    <mergeCell ref="O21:P22"/>
    <mergeCell ref="I22:M22"/>
    <mergeCell ref="I17:M17"/>
    <mergeCell ref="M11:O11"/>
    <mergeCell ref="C12:F12"/>
    <mergeCell ref="G12:I12"/>
    <mergeCell ref="M12:O12"/>
    <mergeCell ref="A13:P13"/>
    <mergeCell ref="B14:G14"/>
    <mergeCell ref="I14:N14"/>
    <mergeCell ref="O14:P14"/>
    <mergeCell ref="A11:A12"/>
    <mergeCell ref="B11:B12"/>
    <mergeCell ref="C11:F11"/>
    <mergeCell ref="G11:I11"/>
    <mergeCell ref="K11:K12"/>
    <mergeCell ref="L11:L12"/>
    <mergeCell ref="M7:P7"/>
    <mergeCell ref="M8:P8"/>
    <mergeCell ref="A9:C9"/>
    <mergeCell ref="G9:K9"/>
    <mergeCell ref="M9:P9"/>
    <mergeCell ref="A10:P10"/>
    <mergeCell ref="A2:P2"/>
    <mergeCell ref="A4:P4"/>
    <mergeCell ref="A5:P5"/>
    <mergeCell ref="A6:C6"/>
    <mergeCell ref="D6:E6"/>
    <mergeCell ref="A7:A8"/>
    <mergeCell ref="B7:C8"/>
    <mergeCell ref="D7:D8"/>
    <mergeCell ref="E7:K8"/>
    <mergeCell ref="L7:L9"/>
    <mergeCell ref="A3:P3"/>
    <mergeCell ref="I42:M42"/>
    <mergeCell ref="A39:A42"/>
    <mergeCell ref="B39:B40"/>
    <mergeCell ref="C39:G40"/>
    <mergeCell ref="H39:H40"/>
    <mergeCell ref="I39:M39"/>
    <mergeCell ref="O39:P40"/>
    <mergeCell ref="I40:M40"/>
    <mergeCell ref="B41:B42"/>
    <mergeCell ref="C41:G42"/>
    <mergeCell ref="H41:H42"/>
    <mergeCell ref="I41:M41"/>
    <mergeCell ref="O41:P42"/>
  </mergeCells>
  <phoneticPr fontId="1"/>
  <dataValidations count="3">
    <dataValidation type="list" allowBlank="1" showInputMessage="1" showErrorMessage="1" sqref="D6:E6">
      <formula1>"男子,女子"</formula1>
    </dataValidation>
    <dataValidation type="list" allowBlank="1" showInputMessage="1" showErrorMessage="1" sqref="E9">
      <formula1>"教諭,主幹教諭,指導教諭,助教諭,常勤講師,教頭,副校長,校長"</formula1>
    </dataValidation>
    <dataValidation type="list" allowBlank="1" showInputMessage="1" showErrorMessage="1" sqref="A1">
      <formula1>"全国,新人"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0"/>
  <sheetViews>
    <sheetView workbookViewId="0">
      <selection sqref="A1:C1"/>
    </sheetView>
  </sheetViews>
  <sheetFormatPr defaultColWidth="8.88671875" defaultRowHeight="13.2" x14ac:dyDescent="0.2"/>
  <cols>
    <col min="1" max="1" width="3.44140625" customWidth="1"/>
    <col min="2" max="2" width="3.109375" customWidth="1"/>
    <col min="3" max="3" width="3.88671875" customWidth="1"/>
    <col min="4" max="4" width="6.109375" customWidth="1"/>
    <col min="5" max="5" width="9.6640625" customWidth="1"/>
    <col min="6" max="6" width="4.88671875" customWidth="1"/>
    <col min="7" max="7" width="3.109375" customWidth="1"/>
    <col min="8" max="8" width="4.6640625" customWidth="1"/>
    <col min="9" max="9" width="1.6640625" customWidth="1"/>
    <col min="10" max="10" width="4.109375" customWidth="1"/>
    <col min="11" max="11" width="3.44140625" customWidth="1"/>
    <col min="12" max="12" width="3.109375" customWidth="1"/>
    <col min="13" max="13" width="10.44140625" customWidth="1"/>
    <col min="14" max="14" width="6.109375" customWidth="1"/>
    <col min="15" max="15" width="6.88671875" customWidth="1"/>
    <col min="16" max="16" width="10" customWidth="1"/>
  </cols>
  <sheetData>
    <row r="1" spans="1:16" ht="27" customHeight="1" thickTop="1" thickBot="1" x14ac:dyDescent="0.25">
      <c r="A1" s="87" t="s">
        <v>254</v>
      </c>
      <c r="B1" s="88"/>
      <c r="C1" s="89"/>
    </row>
    <row r="2" spans="1:16" ht="19.8" thickTop="1" x14ac:dyDescent="0.2">
      <c r="A2" s="98" t="str">
        <f>IF($A$1="全九州",$A$48,IF($A$1="全国",$A$49,IF($A$1="新人",$A$50,"")))</f>
        <v>福岡県高等学校総合体育大会　ソフトテニス選手権大会　中部ブロック予選会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2">
      <c r="A3" s="99" t="str">
        <f>IF($A$1="全九州",$B$48,IF($A$1="全国",$B$49,IF($A$1="新人",$B$50,"")))</f>
        <v>（ 兼 全国高等学校総合体育大会　ソフトテニス選手権大会　福岡県中部ブロック予選 ）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">
      <c r="A4" s="99" t="str">
        <f>IF($A$1="全国",$B$48,"")</f>
        <v>（ 兼 全九州高等学校体育大会　ソフトテニス競技　福岡県中部ブロック予選 ）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9.25" customHeight="1" x14ac:dyDescent="0.2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6.8" thickBot="1" x14ac:dyDescent="0.25">
      <c r="A6" s="107" t="s">
        <v>158</v>
      </c>
      <c r="B6" s="107"/>
      <c r="C6" s="107"/>
      <c r="D6" s="107" t="s">
        <v>21</v>
      </c>
      <c r="E6" s="10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2">
      <c r="A7" s="115" t="s">
        <v>20</v>
      </c>
      <c r="B7" s="111"/>
      <c r="C7" s="112"/>
      <c r="D7" s="63" t="s">
        <v>2</v>
      </c>
      <c r="E7" s="120"/>
      <c r="F7" s="120"/>
      <c r="G7" s="120"/>
      <c r="H7" s="120"/>
      <c r="I7" s="120"/>
      <c r="J7" s="120"/>
      <c r="K7" s="121"/>
      <c r="L7" s="101" t="s">
        <v>6</v>
      </c>
      <c r="M7" s="124" t="s">
        <v>162</v>
      </c>
      <c r="N7" s="125"/>
      <c r="O7" s="125"/>
      <c r="P7" s="126"/>
    </row>
    <row r="8" spans="1:16" ht="18.75" customHeight="1" x14ac:dyDescent="0.2">
      <c r="A8" s="116"/>
      <c r="B8" s="113"/>
      <c r="C8" s="114"/>
      <c r="D8" s="64"/>
      <c r="E8" s="122"/>
      <c r="F8" s="122"/>
      <c r="G8" s="122"/>
      <c r="H8" s="122"/>
      <c r="I8" s="122"/>
      <c r="J8" s="122"/>
      <c r="K8" s="123"/>
      <c r="L8" s="117"/>
      <c r="M8" s="127"/>
      <c r="N8" s="128"/>
      <c r="O8" s="128"/>
      <c r="P8" s="129"/>
    </row>
    <row r="9" spans="1:16" ht="26.25" customHeight="1" thickBot="1" x14ac:dyDescent="0.25">
      <c r="A9" s="106" t="s">
        <v>3</v>
      </c>
      <c r="B9" s="77"/>
      <c r="C9" s="77"/>
      <c r="D9" s="17" t="s">
        <v>4</v>
      </c>
      <c r="E9" s="19"/>
      <c r="F9" s="17" t="s">
        <v>5</v>
      </c>
      <c r="G9" s="118"/>
      <c r="H9" s="118"/>
      <c r="I9" s="118"/>
      <c r="J9" s="118"/>
      <c r="K9" s="119"/>
      <c r="L9" s="102"/>
      <c r="M9" s="130" t="s">
        <v>147</v>
      </c>
      <c r="N9" s="131"/>
      <c r="O9" s="131"/>
      <c r="P9" s="132"/>
    </row>
    <row r="10" spans="1:16" ht="24.75" customHeight="1" thickBot="1" x14ac:dyDescent="0.25">
      <c r="A10" s="90" t="s">
        <v>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x14ac:dyDescent="0.2">
      <c r="A11" s="101" t="s">
        <v>159</v>
      </c>
      <c r="B11" s="145" t="s">
        <v>163</v>
      </c>
      <c r="C11" s="146"/>
      <c r="D11" s="146"/>
      <c r="E11" s="146"/>
      <c r="F11" s="147"/>
      <c r="G11" s="178" t="s">
        <v>150</v>
      </c>
      <c r="H11" s="179"/>
      <c r="I11" s="180"/>
      <c r="J11" s="151"/>
      <c r="K11" s="152"/>
      <c r="L11" s="152"/>
      <c r="M11" s="152"/>
      <c r="N11" s="152"/>
      <c r="O11" s="152"/>
      <c r="P11" s="152"/>
    </row>
    <row r="12" spans="1:16" ht="31.5" customHeight="1" thickBot="1" x14ac:dyDescent="0.25">
      <c r="A12" s="102"/>
      <c r="B12" s="148"/>
      <c r="C12" s="149"/>
      <c r="D12" s="149"/>
      <c r="E12" s="149"/>
      <c r="F12" s="150"/>
      <c r="G12" s="175" t="s">
        <v>151</v>
      </c>
      <c r="H12" s="176"/>
      <c r="I12" s="177"/>
      <c r="J12" s="151"/>
      <c r="K12" s="152"/>
      <c r="L12" s="152"/>
      <c r="M12" s="152"/>
      <c r="N12" s="152"/>
      <c r="O12" s="152"/>
      <c r="P12" s="152"/>
    </row>
    <row r="13" spans="1:16" ht="27" customHeight="1" thickBot="1" x14ac:dyDescent="0.25">
      <c r="A13" s="90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7.25" customHeight="1" thickBot="1" x14ac:dyDescent="0.25">
      <c r="A14" s="3"/>
      <c r="B14" s="91" t="s">
        <v>164</v>
      </c>
      <c r="C14" s="91"/>
      <c r="D14" s="91"/>
      <c r="E14" s="91"/>
      <c r="F14" s="91"/>
      <c r="G14" s="91"/>
      <c r="H14" s="4" t="s">
        <v>12</v>
      </c>
      <c r="I14" s="95" t="s">
        <v>13</v>
      </c>
      <c r="J14" s="91"/>
      <c r="K14" s="91"/>
      <c r="L14" s="91"/>
      <c r="M14" s="91"/>
      <c r="N14" s="96"/>
      <c r="O14" s="97" t="s">
        <v>14</v>
      </c>
      <c r="P14" s="96"/>
    </row>
    <row r="15" spans="1:16" ht="25.5" customHeight="1" x14ac:dyDescent="0.2">
      <c r="A15" s="134">
        <v>1</v>
      </c>
      <c r="B15" s="136"/>
      <c r="C15" s="153"/>
      <c r="D15" s="153"/>
      <c r="E15" s="153"/>
      <c r="F15" s="153"/>
      <c r="G15" s="154"/>
      <c r="H15" s="67"/>
      <c r="I15" s="195" t="s">
        <v>154</v>
      </c>
      <c r="J15" s="196" t="e">
        <v>#N/A</v>
      </c>
      <c r="K15" s="196" t="e">
        <v>#N/A</v>
      </c>
      <c r="L15" s="196" t="e">
        <v>#N/A</v>
      </c>
      <c r="M15" s="196" t="e">
        <v>#N/A</v>
      </c>
      <c r="N15" s="6" t="s">
        <v>17</v>
      </c>
      <c r="O15" s="72"/>
      <c r="P15" s="67"/>
    </row>
    <row r="16" spans="1:16" ht="25.5" customHeight="1" thickBot="1" x14ac:dyDescent="0.25">
      <c r="A16" s="135"/>
      <c r="B16" s="155"/>
      <c r="C16" s="156"/>
      <c r="D16" s="156"/>
      <c r="E16" s="156"/>
      <c r="F16" s="156"/>
      <c r="G16" s="157"/>
      <c r="H16" s="79"/>
      <c r="I16" s="189" t="s">
        <v>154</v>
      </c>
      <c r="J16" s="190" t="e">
        <v>#N/A</v>
      </c>
      <c r="K16" s="190" t="e">
        <v>#N/A</v>
      </c>
      <c r="L16" s="190" t="e">
        <v>#N/A</v>
      </c>
      <c r="M16" s="191" t="e">
        <v>#N/A</v>
      </c>
      <c r="N16" s="23" t="s">
        <v>155</v>
      </c>
      <c r="O16" s="83"/>
      <c r="P16" s="79"/>
    </row>
    <row r="17" spans="1:16" ht="25.5" customHeight="1" x14ac:dyDescent="0.2">
      <c r="A17" s="134">
        <v>2</v>
      </c>
      <c r="B17" s="142"/>
      <c r="C17" s="143"/>
      <c r="D17" s="143"/>
      <c r="E17" s="143"/>
      <c r="F17" s="143"/>
      <c r="G17" s="144"/>
      <c r="H17" s="158"/>
      <c r="I17" s="186" t="s">
        <v>154</v>
      </c>
      <c r="J17" s="187" t="e">
        <v>#N/A</v>
      </c>
      <c r="K17" s="187" t="e">
        <v>#N/A</v>
      </c>
      <c r="L17" s="187" t="e">
        <v>#N/A</v>
      </c>
      <c r="M17" s="188" t="e">
        <v>#N/A</v>
      </c>
      <c r="N17" s="25" t="s">
        <v>25</v>
      </c>
      <c r="O17" s="162"/>
      <c r="P17" s="158"/>
    </row>
    <row r="18" spans="1:16" ht="25.5" customHeight="1" thickBot="1" x14ac:dyDescent="0.25">
      <c r="A18" s="135"/>
      <c r="B18" s="139"/>
      <c r="C18" s="140"/>
      <c r="D18" s="140"/>
      <c r="E18" s="140"/>
      <c r="F18" s="140"/>
      <c r="G18" s="141"/>
      <c r="H18" s="79"/>
      <c r="I18" s="189" t="s">
        <v>154</v>
      </c>
      <c r="J18" s="190" t="e">
        <v>#N/A</v>
      </c>
      <c r="K18" s="190" t="e">
        <v>#N/A</v>
      </c>
      <c r="L18" s="190" t="e">
        <v>#N/A</v>
      </c>
      <c r="M18" s="191" t="e">
        <v>#N/A</v>
      </c>
      <c r="N18" s="22" t="s">
        <v>155</v>
      </c>
      <c r="O18" s="83"/>
      <c r="P18" s="79"/>
    </row>
    <row r="19" spans="1:16" ht="25.5" customHeight="1" x14ac:dyDescent="0.2">
      <c r="A19" s="134">
        <v>3</v>
      </c>
      <c r="B19" s="136"/>
      <c r="C19" s="137"/>
      <c r="D19" s="137"/>
      <c r="E19" s="137"/>
      <c r="F19" s="137"/>
      <c r="G19" s="138"/>
      <c r="H19" s="67"/>
      <c r="I19" s="192" t="s">
        <v>154</v>
      </c>
      <c r="J19" s="193" t="e">
        <v>#N/A</v>
      </c>
      <c r="K19" s="193" t="e">
        <v>#N/A</v>
      </c>
      <c r="L19" s="193" t="e">
        <v>#N/A</v>
      </c>
      <c r="M19" s="194" t="e">
        <v>#N/A</v>
      </c>
      <c r="N19" s="6" t="s">
        <v>17</v>
      </c>
      <c r="O19" s="72"/>
      <c r="P19" s="67"/>
    </row>
    <row r="20" spans="1:16" ht="25.5" customHeight="1" thickBot="1" x14ac:dyDescent="0.25">
      <c r="A20" s="135"/>
      <c r="B20" s="139"/>
      <c r="C20" s="140"/>
      <c r="D20" s="140"/>
      <c r="E20" s="140"/>
      <c r="F20" s="140"/>
      <c r="G20" s="141"/>
      <c r="H20" s="79"/>
      <c r="I20" s="189" t="s">
        <v>154</v>
      </c>
      <c r="J20" s="190" t="e">
        <v>#N/A</v>
      </c>
      <c r="K20" s="190" t="e">
        <v>#N/A</v>
      </c>
      <c r="L20" s="190" t="e">
        <v>#N/A</v>
      </c>
      <c r="M20" s="191" t="e">
        <v>#N/A</v>
      </c>
      <c r="N20" s="23" t="s">
        <v>155</v>
      </c>
      <c r="O20" s="83"/>
      <c r="P20" s="79"/>
    </row>
    <row r="21" spans="1:16" ht="25.5" customHeight="1" x14ac:dyDescent="0.2">
      <c r="A21" s="134">
        <v>4</v>
      </c>
      <c r="B21" s="142"/>
      <c r="C21" s="143"/>
      <c r="D21" s="143"/>
      <c r="E21" s="143"/>
      <c r="F21" s="143"/>
      <c r="G21" s="144"/>
      <c r="H21" s="158"/>
      <c r="I21" s="186" t="s">
        <v>154</v>
      </c>
      <c r="J21" s="187" t="e">
        <v>#N/A</v>
      </c>
      <c r="K21" s="187" t="e">
        <v>#N/A</v>
      </c>
      <c r="L21" s="187" t="e">
        <v>#N/A</v>
      </c>
      <c r="M21" s="188" t="e">
        <v>#N/A</v>
      </c>
      <c r="N21" s="25" t="s">
        <v>25</v>
      </c>
      <c r="O21" s="162"/>
      <c r="P21" s="158"/>
    </row>
    <row r="22" spans="1:16" ht="25.5" customHeight="1" thickBot="1" x14ac:dyDescent="0.25">
      <c r="A22" s="135"/>
      <c r="B22" s="139"/>
      <c r="C22" s="140"/>
      <c r="D22" s="140"/>
      <c r="E22" s="140"/>
      <c r="F22" s="140"/>
      <c r="G22" s="141"/>
      <c r="H22" s="79"/>
      <c r="I22" s="189" t="s">
        <v>154</v>
      </c>
      <c r="J22" s="190" t="e">
        <v>#N/A</v>
      </c>
      <c r="K22" s="190" t="e">
        <v>#N/A</v>
      </c>
      <c r="L22" s="190" t="e">
        <v>#N/A</v>
      </c>
      <c r="M22" s="191" t="e">
        <v>#N/A</v>
      </c>
      <c r="N22" s="22" t="s">
        <v>155</v>
      </c>
      <c r="O22" s="83"/>
      <c r="P22" s="79"/>
    </row>
    <row r="23" spans="1:16" ht="25.5" customHeight="1" x14ac:dyDescent="0.2">
      <c r="A23" s="134">
        <v>5</v>
      </c>
      <c r="B23" s="136"/>
      <c r="C23" s="137"/>
      <c r="D23" s="137"/>
      <c r="E23" s="137"/>
      <c r="F23" s="137"/>
      <c r="G23" s="138"/>
      <c r="H23" s="67"/>
      <c r="I23" s="192" t="s">
        <v>154</v>
      </c>
      <c r="J23" s="193" t="e">
        <v>#N/A</v>
      </c>
      <c r="K23" s="193" t="e">
        <v>#N/A</v>
      </c>
      <c r="L23" s="193" t="e">
        <v>#N/A</v>
      </c>
      <c r="M23" s="194" t="e">
        <v>#N/A</v>
      </c>
      <c r="N23" s="6" t="s">
        <v>17</v>
      </c>
      <c r="O23" s="72"/>
      <c r="P23" s="67"/>
    </row>
    <row r="24" spans="1:16" ht="25.5" customHeight="1" thickBot="1" x14ac:dyDescent="0.25">
      <c r="A24" s="135"/>
      <c r="B24" s="139"/>
      <c r="C24" s="140"/>
      <c r="D24" s="140"/>
      <c r="E24" s="140"/>
      <c r="F24" s="140"/>
      <c r="G24" s="141"/>
      <c r="H24" s="79"/>
      <c r="I24" s="189" t="s">
        <v>154</v>
      </c>
      <c r="J24" s="190" t="e">
        <v>#N/A</v>
      </c>
      <c r="K24" s="190" t="e">
        <v>#N/A</v>
      </c>
      <c r="L24" s="190" t="e">
        <v>#N/A</v>
      </c>
      <c r="M24" s="191" t="e">
        <v>#N/A</v>
      </c>
      <c r="N24" s="23" t="s">
        <v>155</v>
      </c>
      <c r="O24" s="83"/>
      <c r="P24" s="79"/>
    </row>
    <row r="25" spans="1:16" ht="25.5" customHeight="1" x14ac:dyDescent="0.2">
      <c r="A25" s="134">
        <v>6</v>
      </c>
      <c r="B25" s="142"/>
      <c r="C25" s="143"/>
      <c r="D25" s="143"/>
      <c r="E25" s="143"/>
      <c r="F25" s="143"/>
      <c r="G25" s="144"/>
      <c r="H25" s="158"/>
      <c r="I25" s="186" t="s">
        <v>154</v>
      </c>
      <c r="J25" s="187" t="e">
        <v>#N/A</v>
      </c>
      <c r="K25" s="187" t="e">
        <v>#N/A</v>
      </c>
      <c r="L25" s="187" t="e">
        <v>#N/A</v>
      </c>
      <c r="M25" s="188" t="e">
        <v>#N/A</v>
      </c>
      <c r="N25" s="25" t="s">
        <v>25</v>
      </c>
      <c r="O25" s="162"/>
      <c r="P25" s="158"/>
    </row>
    <row r="26" spans="1:16" ht="25.5" customHeight="1" thickBot="1" x14ac:dyDescent="0.25">
      <c r="A26" s="135"/>
      <c r="B26" s="139"/>
      <c r="C26" s="140"/>
      <c r="D26" s="140"/>
      <c r="E26" s="140"/>
      <c r="F26" s="140"/>
      <c r="G26" s="141"/>
      <c r="H26" s="79"/>
      <c r="I26" s="189" t="s">
        <v>154</v>
      </c>
      <c r="J26" s="190" t="e">
        <v>#N/A</v>
      </c>
      <c r="K26" s="190" t="e">
        <v>#N/A</v>
      </c>
      <c r="L26" s="190" t="e">
        <v>#N/A</v>
      </c>
      <c r="M26" s="191" t="e">
        <v>#N/A</v>
      </c>
      <c r="N26" s="22" t="s">
        <v>155</v>
      </c>
      <c r="O26" s="83"/>
      <c r="P26" s="79"/>
    </row>
    <row r="27" spans="1:16" ht="25.5" customHeight="1" x14ac:dyDescent="0.2">
      <c r="A27" s="134">
        <v>7</v>
      </c>
      <c r="B27" s="136"/>
      <c r="C27" s="137"/>
      <c r="D27" s="137"/>
      <c r="E27" s="137"/>
      <c r="F27" s="137"/>
      <c r="G27" s="138"/>
      <c r="H27" s="67"/>
      <c r="I27" s="192" t="s">
        <v>154</v>
      </c>
      <c r="J27" s="193" t="e">
        <v>#N/A</v>
      </c>
      <c r="K27" s="193" t="e">
        <v>#N/A</v>
      </c>
      <c r="L27" s="193" t="e">
        <v>#N/A</v>
      </c>
      <c r="M27" s="194" t="e">
        <v>#N/A</v>
      </c>
      <c r="N27" s="6" t="s">
        <v>17</v>
      </c>
      <c r="O27" s="72"/>
      <c r="P27" s="67"/>
    </row>
    <row r="28" spans="1:16" ht="25.5" customHeight="1" thickBot="1" x14ac:dyDescent="0.25">
      <c r="A28" s="135"/>
      <c r="B28" s="139"/>
      <c r="C28" s="140"/>
      <c r="D28" s="140"/>
      <c r="E28" s="140"/>
      <c r="F28" s="140"/>
      <c r="G28" s="141"/>
      <c r="H28" s="79"/>
      <c r="I28" s="189" t="s">
        <v>154</v>
      </c>
      <c r="J28" s="190" t="e">
        <v>#N/A</v>
      </c>
      <c r="K28" s="190" t="e">
        <v>#N/A</v>
      </c>
      <c r="L28" s="190" t="e">
        <v>#N/A</v>
      </c>
      <c r="M28" s="191" t="e">
        <v>#N/A</v>
      </c>
      <c r="N28" s="23" t="s">
        <v>155</v>
      </c>
      <c r="O28" s="83"/>
      <c r="P28" s="79"/>
    </row>
    <row r="29" spans="1:16" ht="25.5" customHeight="1" x14ac:dyDescent="0.2">
      <c r="A29" s="134">
        <v>8</v>
      </c>
      <c r="B29" s="142"/>
      <c r="C29" s="143"/>
      <c r="D29" s="143"/>
      <c r="E29" s="143"/>
      <c r="F29" s="143"/>
      <c r="G29" s="144"/>
      <c r="H29" s="158"/>
      <c r="I29" s="186" t="s">
        <v>154</v>
      </c>
      <c r="J29" s="187" t="e">
        <v>#N/A</v>
      </c>
      <c r="K29" s="187" t="e">
        <v>#N/A</v>
      </c>
      <c r="L29" s="187" t="e">
        <v>#N/A</v>
      </c>
      <c r="M29" s="188" t="e">
        <v>#N/A</v>
      </c>
      <c r="N29" s="25" t="s">
        <v>25</v>
      </c>
      <c r="O29" s="162"/>
      <c r="P29" s="158"/>
    </row>
    <row r="30" spans="1:16" ht="25.5" customHeight="1" thickBot="1" x14ac:dyDescent="0.25">
      <c r="A30" s="135"/>
      <c r="B30" s="139"/>
      <c r="C30" s="140"/>
      <c r="D30" s="140"/>
      <c r="E30" s="140"/>
      <c r="F30" s="140"/>
      <c r="G30" s="141"/>
      <c r="H30" s="79"/>
      <c r="I30" s="189" t="s">
        <v>154</v>
      </c>
      <c r="J30" s="190" t="e">
        <v>#N/A</v>
      </c>
      <c r="K30" s="190" t="e">
        <v>#N/A</v>
      </c>
      <c r="L30" s="190" t="e">
        <v>#N/A</v>
      </c>
      <c r="M30" s="191" t="e">
        <v>#N/A</v>
      </c>
      <c r="N30" s="23" t="s">
        <v>155</v>
      </c>
      <c r="O30" s="83"/>
      <c r="P30" s="79"/>
    </row>
    <row r="31" spans="1:16" x14ac:dyDescent="0.2">
      <c r="B31" s="5" t="s">
        <v>160</v>
      </c>
    </row>
    <row r="32" spans="1:16" ht="9" customHeight="1" x14ac:dyDescent="0.2"/>
    <row r="33" spans="1:16" ht="13.5" customHeight="1" x14ac:dyDescent="0.2">
      <c r="B33" s="109" t="s">
        <v>19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8.25" customHeight="1" x14ac:dyDescent="0.2"/>
    <row r="37" spans="1:16" x14ac:dyDescent="0.2">
      <c r="C37" s="110" t="s">
        <v>153</v>
      </c>
      <c r="D37" s="110"/>
      <c r="E37" s="110"/>
    </row>
    <row r="38" spans="1:16" ht="24" customHeight="1" x14ac:dyDescent="0.2">
      <c r="F38" s="108" t="str">
        <f>IF(B7="","高等学校長",VLOOKUP(B7,学校リスト!$A$2:$F$51,2) &amp; "学校長　")</f>
        <v>高等学校長</v>
      </c>
      <c r="G38" s="108"/>
      <c r="H38" s="108"/>
      <c r="I38" s="108"/>
      <c r="J38" s="108"/>
      <c r="K38" s="108"/>
      <c r="L38" s="108"/>
      <c r="M38" s="108"/>
      <c r="N38" s="185" t="str">
        <f>IF(B7="","　　　　　　　　　　　　　　印",VLOOKUP(B7,学校リスト!$A$2:$F$51,6)&amp;"　　　印")</f>
        <v>　　　　　　　　　　　　　　印</v>
      </c>
      <c r="O38" s="185"/>
      <c r="P38" s="185"/>
    </row>
    <row r="48" spans="1:16" x14ac:dyDescent="0.2">
      <c r="A48" s="45" t="s">
        <v>224</v>
      </c>
      <c r="B48" s="45" t="s">
        <v>225</v>
      </c>
    </row>
    <row r="49" spans="1:2" x14ac:dyDescent="0.2">
      <c r="A49" s="45" t="s">
        <v>226</v>
      </c>
      <c r="B49" s="45" t="s">
        <v>227</v>
      </c>
    </row>
    <row r="50" spans="1:2" x14ac:dyDescent="0.2">
      <c r="A50" s="45" t="s">
        <v>223</v>
      </c>
      <c r="B50" s="45" t="s">
        <v>28</v>
      </c>
    </row>
  </sheetData>
  <mergeCells count="80">
    <mergeCell ref="A3:P3"/>
    <mergeCell ref="A1:C1"/>
    <mergeCell ref="A10:P10"/>
    <mergeCell ref="A2:P2"/>
    <mergeCell ref="A4:P4"/>
    <mergeCell ref="A5:P5"/>
    <mergeCell ref="A6:C6"/>
    <mergeCell ref="D6:E6"/>
    <mergeCell ref="A7:A8"/>
    <mergeCell ref="B7:C8"/>
    <mergeCell ref="D7:D8"/>
    <mergeCell ref="E7:K8"/>
    <mergeCell ref="L7:L9"/>
    <mergeCell ref="M7:P7"/>
    <mergeCell ref="M8:P8"/>
    <mergeCell ref="A9:C9"/>
    <mergeCell ref="G9:K9"/>
    <mergeCell ref="M9:P9"/>
    <mergeCell ref="A11:A12"/>
    <mergeCell ref="B11:F11"/>
    <mergeCell ref="G11:I11"/>
    <mergeCell ref="J11:P12"/>
    <mergeCell ref="B12:F12"/>
    <mergeCell ref="G12:I12"/>
    <mergeCell ref="A13:P13"/>
    <mergeCell ref="B14:G14"/>
    <mergeCell ref="I14:N14"/>
    <mergeCell ref="O14:P14"/>
    <mergeCell ref="A15:A16"/>
    <mergeCell ref="B15:G16"/>
    <mergeCell ref="H15:H16"/>
    <mergeCell ref="I15:M15"/>
    <mergeCell ref="O15:P16"/>
    <mergeCell ref="I16:M16"/>
    <mergeCell ref="A17:A18"/>
    <mergeCell ref="B17:G18"/>
    <mergeCell ref="H17:H18"/>
    <mergeCell ref="I17:M17"/>
    <mergeCell ref="O17:P18"/>
    <mergeCell ref="I18:M18"/>
    <mergeCell ref="A19:A20"/>
    <mergeCell ref="B19:G20"/>
    <mergeCell ref="H19:H20"/>
    <mergeCell ref="I19:M19"/>
    <mergeCell ref="O19:P20"/>
    <mergeCell ref="I20:M20"/>
    <mergeCell ref="A21:A22"/>
    <mergeCell ref="B21:G22"/>
    <mergeCell ref="H21:H22"/>
    <mergeCell ref="I21:M21"/>
    <mergeCell ref="O21:P22"/>
    <mergeCell ref="I22:M22"/>
    <mergeCell ref="A23:A24"/>
    <mergeCell ref="B23:G24"/>
    <mergeCell ref="H23:H24"/>
    <mergeCell ref="I23:M23"/>
    <mergeCell ref="O23:P24"/>
    <mergeCell ref="I24:M24"/>
    <mergeCell ref="A25:A26"/>
    <mergeCell ref="B25:G26"/>
    <mergeCell ref="H25:H26"/>
    <mergeCell ref="I25:M25"/>
    <mergeCell ref="O25:P26"/>
    <mergeCell ref="I26:M26"/>
    <mergeCell ref="A27:A28"/>
    <mergeCell ref="B27:G28"/>
    <mergeCell ref="H27:H28"/>
    <mergeCell ref="I27:M27"/>
    <mergeCell ref="O27:P28"/>
    <mergeCell ref="I28:M28"/>
    <mergeCell ref="B33:P35"/>
    <mergeCell ref="C37:E37"/>
    <mergeCell ref="F38:M38"/>
    <mergeCell ref="N38:P38"/>
    <mergeCell ref="A29:A30"/>
    <mergeCell ref="B29:G30"/>
    <mergeCell ref="H29:H30"/>
    <mergeCell ref="I29:M29"/>
    <mergeCell ref="O29:P30"/>
    <mergeCell ref="I30:M30"/>
  </mergeCells>
  <phoneticPr fontId="1"/>
  <dataValidations count="3">
    <dataValidation type="list" allowBlank="1" showInputMessage="1" showErrorMessage="1" sqref="E9">
      <formula1>"教諭,主幹教諭,指導教諭,助教諭,常勤講師,教頭,副校長,校長"</formula1>
    </dataValidation>
    <dataValidation type="list" allowBlank="1" showInputMessage="1" showErrorMessage="1" sqref="D6:E6">
      <formula1>"男子,女子"</formula1>
    </dataValidation>
    <dataValidation type="list" allowBlank="1" showInputMessage="1" showErrorMessage="1" sqref="A1">
      <formula1>"全国,新人"</formula1>
    </dataValidation>
  </dataValidations>
  <printOptions horizontalCentered="1"/>
  <pageMargins left="0.71" right="0.71" top="0.75000000000000011" bottom="0.75000000000000011" header="0.31" footer="0.31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1"/>
  <sheetViews>
    <sheetView workbookViewId="0">
      <selection activeCell="F32" sqref="F32"/>
    </sheetView>
  </sheetViews>
  <sheetFormatPr defaultColWidth="8.88671875" defaultRowHeight="13.2" x14ac:dyDescent="0.2"/>
  <cols>
    <col min="2" max="2" width="27.6640625" bestFit="1" customWidth="1"/>
    <col min="3" max="3" width="9.44140625" bestFit="1" customWidth="1"/>
    <col min="4" max="4" width="29.6640625" bestFit="1" customWidth="1"/>
    <col min="5" max="5" width="13.88671875" bestFit="1" customWidth="1"/>
    <col min="6" max="6" width="11.109375" customWidth="1"/>
  </cols>
  <sheetData>
    <row r="1" spans="1:6" ht="13.8" thickBot="1" x14ac:dyDescent="0.25">
      <c r="A1" s="44" t="s">
        <v>165</v>
      </c>
      <c r="B1" s="44" t="s">
        <v>166</v>
      </c>
      <c r="C1" s="44" t="s">
        <v>167</v>
      </c>
      <c r="D1" s="44" t="s">
        <v>168</v>
      </c>
      <c r="E1" s="44" t="s">
        <v>169</v>
      </c>
      <c r="F1" s="44" t="s">
        <v>170</v>
      </c>
    </row>
    <row r="2" spans="1:6" ht="13.8" thickTop="1" x14ac:dyDescent="0.2">
      <c r="A2">
        <v>1</v>
      </c>
      <c r="B2" t="s">
        <v>29</v>
      </c>
      <c r="C2" t="s">
        <v>30</v>
      </c>
      <c r="D2" t="s">
        <v>31</v>
      </c>
      <c r="E2" t="s">
        <v>172</v>
      </c>
    </row>
    <row r="3" spans="1:6" x14ac:dyDescent="0.2">
      <c r="A3">
        <v>2</v>
      </c>
      <c r="B3" t="s">
        <v>32</v>
      </c>
      <c r="C3" t="s">
        <v>33</v>
      </c>
      <c r="D3" t="s">
        <v>34</v>
      </c>
      <c r="E3" t="s">
        <v>173</v>
      </c>
    </row>
    <row r="4" spans="1:6" x14ac:dyDescent="0.2">
      <c r="A4">
        <v>3</v>
      </c>
      <c r="B4" t="s">
        <v>35</v>
      </c>
      <c r="C4" t="s">
        <v>36</v>
      </c>
      <c r="D4" t="s">
        <v>37</v>
      </c>
      <c r="E4" t="s">
        <v>174</v>
      </c>
    </row>
    <row r="5" spans="1:6" x14ac:dyDescent="0.2">
      <c r="A5">
        <v>4</v>
      </c>
      <c r="B5" t="s">
        <v>38</v>
      </c>
      <c r="C5" t="s">
        <v>39</v>
      </c>
      <c r="D5" t="s">
        <v>40</v>
      </c>
      <c r="E5" t="s">
        <v>175</v>
      </c>
    </row>
    <row r="6" spans="1:6" x14ac:dyDescent="0.2">
      <c r="A6">
        <v>5</v>
      </c>
      <c r="B6" t="s">
        <v>41</v>
      </c>
      <c r="C6" t="s">
        <v>42</v>
      </c>
      <c r="D6" t="s">
        <v>43</v>
      </c>
      <c r="E6" t="s">
        <v>176</v>
      </c>
    </row>
    <row r="7" spans="1:6" x14ac:dyDescent="0.2">
      <c r="A7">
        <v>6</v>
      </c>
      <c r="B7" t="s">
        <v>44</v>
      </c>
      <c r="C7" t="s">
        <v>45</v>
      </c>
      <c r="D7" t="s">
        <v>46</v>
      </c>
      <c r="E7" t="s">
        <v>177</v>
      </c>
    </row>
    <row r="8" spans="1:6" x14ac:dyDescent="0.2">
      <c r="A8">
        <v>7</v>
      </c>
      <c r="B8" t="s">
        <v>47</v>
      </c>
      <c r="C8" t="s">
        <v>48</v>
      </c>
      <c r="D8" t="s">
        <v>49</v>
      </c>
      <c r="E8" t="s">
        <v>178</v>
      </c>
    </row>
    <row r="9" spans="1:6" x14ac:dyDescent="0.2">
      <c r="A9">
        <v>8</v>
      </c>
      <c r="B9" t="s">
        <v>50</v>
      </c>
      <c r="C9" t="s">
        <v>51</v>
      </c>
      <c r="D9" t="s">
        <v>52</v>
      </c>
      <c r="E9" t="s">
        <v>179</v>
      </c>
    </row>
    <row r="10" spans="1:6" x14ac:dyDescent="0.2">
      <c r="A10">
        <v>9</v>
      </c>
      <c r="B10" t="s">
        <v>53</v>
      </c>
      <c r="C10" t="s">
        <v>54</v>
      </c>
      <c r="D10" t="s">
        <v>55</v>
      </c>
      <c r="E10" t="s">
        <v>180</v>
      </c>
    </row>
    <row r="11" spans="1:6" x14ac:dyDescent="0.2">
      <c r="A11">
        <v>10</v>
      </c>
      <c r="B11" t="s">
        <v>56</v>
      </c>
      <c r="C11" t="s">
        <v>57</v>
      </c>
      <c r="D11" t="s">
        <v>58</v>
      </c>
      <c r="E11" t="s">
        <v>181</v>
      </c>
    </row>
    <row r="12" spans="1:6" x14ac:dyDescent="0.2">
      <c r="A12">
        <v>11</v>
      </c>
      <c r="B12" t="s">
        <v>59</v>
      </c>
      <c r="C12" t="s">
        <v>60</v>
      </c>
      <c r="D12" t="s">
        <v>182</v>
      </c>
      <c r="E12" t="s">
        <v>183</v>
      </c>
    </row>
    <row r="13" spans="1:6" x14ac:dyDescent="0.2">
      <c r="A13">
        <v>12</v>
      </c>
      <c r="B13" t="s">
        <v>61</v>
      </c>
      <c r="C13" t="s">
        <v>62</v>
      </c>
      <c r="D13" t="s">
        <v>63</v>
      </c>
      <c r="E13" t="s">
        <v>184</v>
      </c>
    </row>
    <row r="14" spans="1:6" x14ac:dyDescent="0.2">
      <c r="A14">
        <v>13</v>
      </c>
      <c r="B14" t="s">
        <v>64</v>
      </c>
      <c r="C14" t="s">
        <v>65</v>
      </c>
      <c r="D14" t="s">
        <v>66</v>
      </c>
      <c r="E14" t="s">
        <v>185</v>
      </c>
    </row>
    <row r="15" spans="1:6" x14ac:dyDescent="0.2">
      <c r="A15">
        <v>14</v>
      </c>
      <c r="B15" t="s">
        <v>67</v>
      </c>
      <c r="C15" t="s">
        <v>68</v>
      </c>
      <c r="D15" t="s">
        <v>69</v>
      </c>
      <c r="E15" t="s">
        <v>186</v>
      </c>
    </row>
    <row r="16" spans="1:6" x14ac:dyDescent="0.2">
      <c r="A16">
        <v>15</v>
      </c>
      <c r="B16" t="s">
        <v>70</v>
      </c>
      <c r="C16" t="s">
        <v>71</v>
      </c>
      <c r="D16" t="s">
        <v>72</v>
      </c>
      <c r="E16" t="s">
        <v>187</v>
      </c>
    </row>
    <row r="17" spans="1:5" x14ac:dyDescent="0.2">
      <c r="A17">
        <v>16</v>
      </c>
      <c r="B17" t="s">
        <v>73</v>
      </c>
      <c r="C17" t="s">
        <v>74</v>
      </c>
      <c r="D17" t="s">
        <v>75</v>
      </c>
      <c r="E17" t="s">
        <v>188</v>
      </c>
    </row>
    <row r="18" spans="1:5" x14ac:dyDescent="0.2">
      <c r="A18">
        <v>17</v>
      </c>
      <c r="B18" t="s">
        <v>76</v>
      </c>
      <c r="C18" t="s">
        <v>77</v>
      </c>
      <c r="D18" t="s">
        <v>78</v>
      </c>
      <c r="E18" t="s">
        <v>189</v>
      </c>
    </row>
    <row r="19" spans="1:5" x14ac:dyDescent="0.2">
      <c r="A19">
        <v>18</v>
      </c>
      <c r="B19" t="s">
        <v>79</v>
      </c>
      <c r="C19" t="s">
        <v>80</v>
      </c>
      <c r="D19" t="s">
        <v>81</v>
      </c>
      <c r="E19" t="s">
        <v>190</v>
      </c>
    </row>
    <row r="20" spans="1:5" x14ac:dyDescent="0.2">
      <c r="A20">
        <v>19</v>
      </c>
      <c r="B20" t="s">
        <v>82</v>
      </c>
      <c r="C20" t="s">
        <v>83</v>
      </c>
      <c r="D20" t="s">
        <v>84</v>
      </c>
      <c r="E20" t="s">
        <v>191</v>
      </c>
    </row>
    <row r="21" spans="1:5" x14ac:dyDescent="0.2">
      <c r="A21">
        <v>20</v>
      </c>
      <c r="B21" t="s">
        <v>85</v>
      </c>
      <c r="C21" t="s">
        <v>86</v>
      </c>
      <c r="D21" t="s">
        <v>87</v>
      </c>
      <c r="E21" t="s">
        <v>192</v>
      </c>
    </row>
    <row r="22" spans="1:5" x14ac:dyDescent="0.2">
      <c r="A22">
        <v>21</v>
      </c>
      <c r="B22" t="s">
        <v>88</v>
      </c>
      <c r="C22" t="s">
        <v>89</v>
      </c>
      <c r="D22" t="s">
        <v>171</v>
      </c>
      <c r="E22" t="s">
        <v>193</v>
      </c>
    </row>
    <row r="23" spans="1:5" x14ac:dyDescent="0.2">
      <c r="A23">
        <v>22</v>
      </c>
      <c r="B23" t="s">
        <v>90</v>
      </c>
      <c r="C23" t="s">
        <v>91</v>
      </c>
      <c r="D23" t="s">
        <v>92</v>
      </c>
      <c r="E23" t="s">
        <v>194</v>
      </c>
    </row>
    <row r="24" spans="1:5" x14ac:dyDescent="0.2">
      <c r="A24">
        <v>23</v>
      </c>
      <c r="B24" t="s">
        <v>93</v>
      </c>
      <c r="C24" t="s">
        <v>94</v>
      </c>
      <c r="D24" t="s">
        <v>95</v>
      </c>
      <c r="E24" t="s">
        <v>195</v>
      </c>
    </row>
    <row r="25" spans="1:5" x14ac:dyDescent="0.2">
      <c r="A25">
        <v>24</v>
      </c>
      <c r="B25" t="s">
        <v>96</v>
      </c>
      <c r="C25" t="s">
        <v>97</v>
      </c>
      <c r="D25" t="s">
        <v>98</v>
      </c>
      <c r="E25" t="s">
        <v>196</v>
      </c>
    </row>
    <row r="26" spans="1:5" x14ac:dyDescent="0.2">
      <c r="A26">
        <v>25</v>
      </c>
      <c r="B26" t="s">
        <v>99</v>
      </c>
      <c r="C26" t="s">
        <v>100</v>
      </c>
      <c r="D26" t="s">
        <v>101</v>
      </c>
      <c r="E26" t="s">
        <v>197</v>
      </c>
    </row>
    <row r="27" spans="1:5" x14ac:dyDescent="0.2">
      <c r="A27">
        <v>26</v>
      </c>
      <c r="B27" t="s">
        <v>102</v>
      </c>
      <c r="C27" t="s">
        <v>103</v>
      </c>
      <c r="D27" t="s">
        <v>104</v>
      </c>
      <c r="E27" t="s">
        <v>198</v>
      </c>
    </row>
    <row r="28" spans="1:5" x14ac:dyDescent="0.2">
      <c r="A28">
        <v>27</v>
      </c>
      <c r="B28" t="s">
        <v>105</v>
      </c>
      <c r="C28" t="s">
        <v>106</v>
      </c>
      <c r="D28" t="s">
        <v>107</v>
      </c>
      <c r="E28" t="s">
        <v>199</v>
      </c>
    </row>
    <row r="29" spans="1:5" x14ac:dyDescent="0.2">
      <c r="A29">
        <v>28</v>
      </c>
      <c r="B29" t="s">
        <v>108</v>
      </c>
      <c r="C29" t="s">
        <v>109</v>
      </c>
      <c r="D29" t="s">
        <v>200</v>
      </c>
      <c r="E29" t="s">
        <v>201</v>
      </c>
    </row>
    <row r="30" spans="1:5" x14ac:dyDescent="0.2">
      <c r="A30">
        <v>29</v>
      </c>
      <c r="B30" t="s">
        <v>110</v>
      </c>
      <c r="C30" t="s">
        <v>111</v>
      </c>
      <c r="D30" t="s">
        <v>112</v>
      </c>
      <c r="E30" t="s">
        <v>202</v>
      </c>
    </row>
    <row r="31" spans="1:5" x14ac:dyDescent="0.2">
      <c r="A31">
        <v>30</v>
      </c>
      <c r="B31" t="s">
        <v>113</v>
      </c>
      <c r="C31" t="s">
        <v>114</v>
      </c>
      <c r="D31" t="s">
        <v>115</v>
      </c>
      <c r="E31" t="s">
        <v>203</v>
      </c>
    </row>
    <row r="32" spans="1:5" x14ac:dyDescent="0.2">
      <c r="A32">
        <v>31</v>
      </c>
      <c r="B32" t="s">
        <v>116</v>
      </c>
      <c r="C32" t="s">
        <v>117</v>
      </c>
      <c r="D32" t="s">
        <v>204</v>
      </c>
      <c r="E32" t="s">
        <v>205</v>
      </c>
    </row>
    <row r="33" spans="1:5" x14ac:dyDescent="0.2">
      <c r="A33">
        <v>32</v>
      </c>
      <c r="B33" t="s">
        <v>118</v>
      </c>
      <c r="C33" t="s">
        <v>119</v>
      </c>
      <c r="D33" t="s">
        <v>120</v>
      </c>
      <c r="E33" t="s">
        <v>206</v>
      </c>
    </row>
    <row r="34" spans="1:5" x14ac:dyDescent="0.2">
      <c r="A34">
        <v>33</v>
      </c>
      <c r="B34" t="s">
        <v>121</v>
      </c>
      <c r="C34" t="s">
        <v>122</v>
      </c>
      <c r="D34" t="s">
        <v>123</v>
      </c>
      <c r="E34" t="s">
        <v>207</v>
      </c>
    </row>
    <row r="35" spans="1:5" x14ac:dyDescent="0.2">
      <c r="A35">
        <v>34</v>
      </c>
      <c r="B35" t="s">
        <v>124</v>
      </c>
      <c r="C35" t="s">
        <v>125</v>
      </c>
      <c r="D35" t="s">
        <v>126</v>
      </c>
      <c r="E35" t="s">
        <v>208</v>
      </c>
    </row>
    <row r="36" spans="1:5" x14ac:dyDescent="0.2">
      <c r="A36">
        <v>35</v>
      </c>
      <c r="B36" t="s">
        <v>127</v>
      </c>
      <c r="C36" t="s">
        <v>128</v>
      </c>
      <c r="D36" t="s">
        <v>129</v>
      </c>
      <c r="E36" t="s">
        <v>209</v>
      </c>
    </row>
    <row r="37" spans="1:5" x14ac:dyDescent="0.2">
      <c r="A37">
        <v>36</v>
      </c>
      <c r="B37" t="s">
        <v>130</v>
      </c>
      <c r="C37" t="s">
        <v>131</v>
      </c>
      <c r="D37" t="s">
        <v>132</v>
      </c>
      <c r="E37" t="s">
        <v>210</v>
      </c>
    </row>
    <row r="38" spans="1:5" x14ac:dyDescent="0.2">
      <c r="A38">
        <v>37</v>
      </c>
      <c r="B38" t="s">
        <v>133</v>
      </c>
      <c r="C38" t="s">
        <v>134</v>
      </c>
      <c r="D38" t="s">
        <v>135</v>
      </c>
      <c r="E38" t="s">
        <v>211</v>
      </c>
    </row>
    <row r="39" spans="1:5" x14ac:dyDescent="0.2">
      <c r="A39">
        <v>38</v>
      </c>
      <c r="B39" t="s">
        <v>136</v>
      </c>
      <c r="C39" t="s">
        <v>137</v>
      </c>
      <c r="D39" t="s">
        <v>138</v>
      </c>
      <c r="E39" t="s">
        <v>212</v>
      </c>
    </row>
    <row r="40" spans="1:5" x14ac:dyDescent="0.2">
      <c r="A40">
        <v>39</v>
      </c>
      <c r="B40" t="s">
        <v>139</v>
      </c>
      <c r="C40" t="s">
        <v>140</v>
      </c>
      <c r="D40" t="s">
        <v>141</v>
      </c>
      <c r="E40" t="s">
        <v>213</v>
      </c>
    </row>
    <row r="41" spans="1:5" x14ac:dyDescent="0.2">
      <c r="A41">
        <v>40</v>
      </c>
      <c r="B41" t="s">
        <v>142</v>
      </c>
      <c r="C41" t="s">
        <v>143</v>
      </c>
      <c r="D41" t="s">
        <v>144</v>
      </c>
      <c r="E41" t="s">
        <v>214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記入法</vt:lpstr>
      <vt:lpstr>選手リスト</vt:lpstr>
      <vt:lpstr>個人戦申込書（入力用）</vt:lpstr>
      <vt:lpstr>団体戦申込書（入力用）</vt:lpstr>
      <vt:lpstr>個人戦申込書 (手書用)</vt:lpstr>
      <vt:lpstr>団体戦申込書（手書用）</vt:lpstr>
      <vt:lpstr>学校リスト</vt:lpstr>
      <vt:lpstr>'個人戦申込書 (手書用)'!Print_Area</vt:lpstr>
      <vt:lpstr>'個人戦申込書（入力用）'!Print_Area</vt:lpstr>
      <vt:lpstr>'団体戦申込書（手書用）'!Print_Area</vt:lpstr>
      <vt:lpstr>'団体戦申込書（入力用）'!Print_Area</vt:lpstr>
      <vt:lpstr>選手リスト!Print_Titles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FUJITSU02</cp:lastModifiedBy>
  <cp:lastPrinted>2015-03-10T04:35:47Z</cp:lastPrinted>
  <dcterms:created xsi:type="dcterms:W3CDTF">2012-04-09T05:41:55Z</dcterms:created>
  <dcterms:modified xsi:type="dcterms:W3CDTF">2016-08-17T00:50:10Z</dcterms:modified>
</cp:coreProperties>
</file>